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matas\Documents\web\2019-20\"/>
    </mc:Choice>
  </mc:AlternateContent>
  <workbookProtection workbookPassword="DE31" lockStructure="1"/>
  <bookViews>
    <workbookView xWindow="0" yWindow="0" windowWidth="19200" windowHeight="10860" activeTab="2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_xlnm.Print_Area" localSheetId="6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O50" i="14" l="1"/>
  <c r="N50" i="14"/>
  <c r="L50" i="14"/>
  <c r="J50" i="14"/>
  <c r="E50" i="14"/>
  <c r="E49" i="14" s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H50" i="14" l="1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3" i="13" l="1"/>
  <c r="P99" i="13"/>
  <c r="P94" i="13"/>
  <c r="P90" i="13"/>
  <c r="P86" i="13"/>
  <c r="P70" i="13"/>
  <c r="P65" i="13"/>
  <c r="P60" i="13"/>
  <c r="P56" i="13"/>
  <c r="P52" i="13"/>
  <c r="P48" i="13"/>
  <c r="P32" i="13"/>
  <c r="P28" i="13"/>
  <c r="P23" i="13"/>
  <c r="P19" i="13"/>
  <c r="P15" i="13"/>
  <c r="P11" i="13"/>
  <c r="P20" i="13"/>
  <c r="P102" i="13"/>
  <c r="P97" i="13"/>
  <c r="P93" i="13"/>
  <c r="P89" i="13"/>
  <c r="P85" i="13"/>
  <c r="P68" i="13"/>
  <c r="P64" i="13"/>
  <c r="P59" i="13"/>
  <c r="P55" i="13"/>
  <c r="P51" i="13"/>
  <c r="P47" i="13"/>
  <c r="P31" i="13"/>
  <c r="P27" i="13"/>
  <c r="P22" i="13"/>
  <c r="P18" i="13"/>
  <c r="P14" i="13"/>
  <c r="P100" i="13"/>
  <c r="P91" i="13"/>
  <c r="P83" i="13"/>
  <c r="P61" i="13"/>
  <c r="P53" i="13"/>
  <c r="P34" i="13"/>
  <c r="P24" i="13"/>
  <c r="P12" i="13"/>
  <c r="P106" i="13"/>
  <c r="P101" i="13"/>
  <c r="P96" i="13"/>
  <c r="P92" i="13"/>
  <c r="P88" i="13"/>
  <c r="P84" i="13"/>
  <c r="P67" i="13"/>
  <c r="P63" i="13"/>
  <c r="P58" i="13"/>
  <c r="P54" i="13"/>
  <c r="P50" i="13"/>
  <c r="P35" i="13"/>
  <c r="P30" i="13"/>
  <c r="P25" i="13"/>
  <c r="P21" i="13"/>
  <c r="P17" i="13"/>
  <c r="P13" i="13"/>
  <c r="P104" i="13"/>
  <c r="P95" i="13"/>
  <c r="P87" i="13"/>
  <c r="P66" i="13"/>
  <c r="P57" i="13"/>
  <c r="P49" i="13"/>
  <c r="P29" i="13"/>
  <c r="P16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O108" i="14"/>
  <c r="N108" i="14"/>
  <c r="L108" i="14"/>
  <c r="J108" i="14"/>
  <c r="E108" i="14"/>
  <c r="O107" i="14"/>
  <c r="N107" i="14"/>
  <c r="L107" i="14"/>
  <c r="J107" i="14"/>
  <c r="E107" i="14"/>
  <c r="O105" i="14"/>
  <c r="N105" i="14"/>
  <c r="L105" i="14"/>
  <c r="J105" i="14"/>
  <c r="E105" i="14"/>
  <c r="O104" i="14"/>
  <c r="N104" i="14"/>
  <c r="L104" i="14"/>
  <c r="J104" i="14"/>
  <c r="E104" i="14"/>
  <c r="O103" i="14"/>
  <c r="N103" i="14"/>
  <c r="L103" i="14"/>
  <c r="J103" i="14"/>
  <c r="E103" i="14"/>
  <c r="O102" i="14"/>
  <c r="N102" i="14"/>
  <c r="L102" i="14"/>
  <c r="J102" i="14"/>
  <c r="E102" i="14"/>
  <c r="O101" i="14"/>
  <c r="N101" i="14"/>
  <c r="L101" i="14"/>
  <c r="J101" i="14"/>
  <c r="E101" i="14"/>
  <c r="O99" i="14"/>
  <c r="N99" i="14"/>
  <c r="L99" i="14"/>
  <c r="J99" i="14"/>
  <c r="E99" i="14"/>
  <c r="O98" i="14"/>
  <c r="N98" i="14"/>
  <c r="L98" i="14"/>
  <c r="J98" i="14"/>
  <c r="E98" i="14"/>
  <c r="O97" i="14"/>
  <c r="N97" i="14"/>
  <c r="L97" i="14"/>
  <c r="J97" i="14"/>
  <c r="E97" i="14"/>
  <c r="O96" i="14"/>
  <c r="N96" i="14"/>
  <c r="L96" i="14"/>
  <c r="J96" i="14"/>
  <c r="E96" i="14"/>
  <c r="O95" i="14"/>
  <c r="N95" i="14"/>
  <c r="L95" i="14"/>
  <c r="J95" i="14"/>
  <c r="E95" i="14"/>
  <c r="O94" i="14"/>
  <c r="N94" i="14"/>
  <c r="L94" i="14"/>
  <c r="J94" i="14"/>
  <c r="E94" i="14"/>
  <c r="O93" i="14"/>
  <c r="N93" i="14"/>
  <c r="L93" i="14"/>
  <c r="J93" i="14"/>
  <c r="E93" i="14"/>
  <c r="E81" i="14"/>
  <c r="J81" i="14"/>
  <c r="L81" i="14"/>
  <c r="N81" i="14"/>
  <c r="O81" i="14"/>
  <c r="E82" i="14"/>
  <c r="J82" i="14"/>
  <c r="L82" i="14"/>
  <c r="N82" i="14"/>
  <c r="O82" i="14"/>
  <c r="E83" i="14"/>
  <c r="J83" i="14"/>
  <c r="L83" i="14"/>
  <c r="N83" i="14"/>
  <c r="O83" i="14"/>
  <c r="E84" i="14"/>
  <c r="J84" i="14"/>
  <c r="L84" i="14"/>
  <c r="N84" i="14"/>
  <c r="O84" i="14"/>
  <c r="E85" i="14"/>
  <c r="J85" i="14"/>
  <c r="L85" i="14"/>
  <c r="N85" i="14"/>
  <c r="O85" i="14"/>
  <c r="E87" i="14"/>
  <c r="J87" i="14"/>
  <c r="L87" i="14"/>
  <c r="N87" i="14"/>
  <c r="O87" i="14"/>
  <c r="O88" i="14"/>
  <c r="N88" i="14"/>
  <c r="L88" i="14"/>
  <c r="J88" i="14"/>
  <c r="E88" i="14"/>
  <c r="O79" i="14"/>
  <c r="N79" i="14"/>
  <c r="L79" i="14"/>
  <c r="J79" i="14"/>
  <c r="E79" i="14"/>
  <c r="O78" i="14"/>
  <c r="N78" i="14"/>
  <c r="L78" i="14"/>
  <c r="J78" i="14"/>
  <c r="E78" i="14"/>
  <c r="O77" i="14"/>
  <c r="N77" i="14"/>
  <c r="L77" i="14"/>
  <c r="J77" i="14"/>
  <c r="E77" i="14"/>
  <c r="O76" i="14"/>
  <c r="N76" i="14"/>
  <c r="L76" i="14"/>
  <c r="J76" i="14"/>
  <c r="E76" i="14"/>
  <c r="O75" i="14"/>
  <c r="N75" i="14"/>
  <c r="L75" i="14"/>
  <c r="J75" i="14"/>
  <c r="E75" i="14"/>
  <c r="O74" i="14"/>
  <c r="N74" i="14"/>
  <c r="L74" i="14"/>
  <c r="J74" i="14"/>
  <c r="E74" i="14"/>
  <c r="O73" i="14"/>
  <c r="N73" i="14"/>
  <c r="L73" i="14"/>
  <c r="J73" i="14"/>
  <c r="E73" i="14"/>
  <c r="E86" i="14" l="1"/>
  <c r="P86" i="14"/>
  <c r="L86" i="14"/>
  <c r="O86" i="14"/>
  <c r="N86" i="14"/>
  <c r="J86" i="14"/>
  <c r="O68" i="14"/>
  <c r="N68" i="14"/>
  <c r="L68" i="14"/>
  <c r="J68" i="14"/>
  <c r="H68" i="14"/>
  <c r="E68" i="14"/>
  <c r="O67" i="14"/>
  <c r="N67" i="14"/>
  <c r="L67" i="14"/>
  <c r="J67" i="14"/>
  <c r="H67" i="14"/>
  <c r="E67" i="14"/>
  <c r="O66" i="14"/>
  <c r="N66" i="14"/>
  <c r="L66" i="14"/>
  <c r="J66" i="14"/>
  <c r="H66" i="14"/>
  <c r="E66" i="14"/>
  <c r="O65" i="14"/>
  <c r="N65" i="14"/>
  <c r="L65" i="14"/>
  <c r="J65" i="14"/>
  <c r="H65" i="14"/>
  <c r="E65" i="14"/>
  <c r="O64" i="14"/>
  <c r="N64" i="14"/>
  <c r="L64" i="14"/>
  <c r="J64" i="14"/>
  <c r="H64" i="14"/>
  <c r="E64" i="14"/>
  <c r="O62" i="14"/>
  <c r="N62" i="14"/>
  <c r="L62" i="14"/>
  <c r="J62" i="14"/>
  <c r="H62" i="14"/>
  <c r="E62" i="14"/>
  <c r="O61" i="14"/>
  <c r="N61" i="14"/>
  <c r="L61" i="14"/>
  <c r="J61" i="14"/>
  <c r="H61" i="14"/>
  <c r="E61" i="14"/>
  <c r="O60" i="14"/>
  <c r="N60" i="14"/>
  <c r="L60" i="14"/>
  <c r="J60" i="14"/>
  <c r="H60" i="14"/>
  <c r="E60" i="14"/>
  <c r="O57" i="14"/>
  <c r="N57" i="14"/>
  <c r="L57" i="14"/>
  <c r="J57" i="14"/>
  <c r="H57" i="14"/>
  <c r="E57" i="14"/>
  <c r="O56" i="14"/>
  <c r="N56" i="14"/>
  <c r="L56" i="14"/>
  <c r="J56" i="14"/>
  <c r="H56" i="14"/>
  <c r="E56" i="14"/>
  <c r="O55" i="14"/>
  <c r="N55" i="14"/>
  <c r="L55" i="14"/>
  <c r="J55" i="14"/>
  <c r="H55" i="14"/>
  <c r="E55" i="14"/>
  <c r="O54" i="14"/>
  <c r="N54" i="14"/>
  <c r="L54" i="14"/>
  <c r="J54" i="14"/>
  <c r="H54" i="14"/>
  <c r="E54" i="14"/>
  <c r="O52" i="14"/>
  <c r="N52" i="14"/>
  <c r="L52" i="14"/>
  <c r="J52" i="14"/>
  <c r="H52" i="14"/>
  <c r="E52" i="14"/>
  <c r="O48" i="14"/>
  <c r="N48" i="14"/>
  <c r="L48" i="14"/>
  <c r="J48" i="14"/>
  <c r="H48" i="14"/>
  <c r="E48" i="14"/>
  <c r="O47" i="14"/>
  <c r="N47" i="14"/>
  <c r="L47" i="14"/>
  <c r="J47" i="14"/>
  <c r="H47" i="14"/>
  <c r="E47" i="14"/>
  <c r="O46" i="14"/>
  <c r="N46" i="14"/>
  <c r="L46" i="14"/>
  <c r="J46" i="14"/>
  <c r="H46" i="14"/>
  <c r="E46" i="14"/>
  <c r="O45" i="14"/>
  <c r="N45" i="14"/>
  <c r="L45" i="14"/>
  <c r="J45" i="14"/>
  <c r="H45" i="14"/>
  <c r="E45" i="14"/>
  <c r="O44" i="14"/>
  <c r="N44" i="14"/>
  <c r="L44" i="14"/>
  <c r="J44" i="14"/>
  <c r="H44" i="14"/>
  <c r="E44" i="14"/>
  <c r="O43" i="14"/>
  <c r="N43" i="14"/>
  <c r="L43" i="14"/>
  <c r="J43" i="14"/>
  <c r="H43" i="14"/>
  <c r="E43" i="14"/>
  <c r="O41" i="14"/>
  <c r="N41" i="14"/>
  <c r="L41" i="14"/>
  <c r="J41" i="14"/>
  <c r="H41" i="14"/>
  <c r="E41" i="14"/>
  <c r="O40" i="14"/>
  <c r="N40" i="14"/>
  <c r="L40" i="14"/>
  <c r="J40" i="14"/>
  <c r="H40" i="14"/>
  <c r="E40" i="14"/>
  <c r="O59" i="14" l="1"/>
  <c r="H59" i="14"/>
  <c r="L59" i="14"/>
  <c r="H63" i="14"/>
  <c r="J59" i="14"/>
  <c r="N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O37" i="14" l="1"/>
  <c r="N37" i="14"/>
  <c r="L37" i="14"/>
  <c r="J37" i="14"/>
  <c r="H37" i="14"/>
  <c r="E37" i="14"/>
  <c r="O36" i="14"/>
  <c r="N36" i="14"/>
  <c r="L36" i="14"/>
  <c r="J36" i="14"/>
  <c r="H36" i="14"/>
  <c r="E36" i="14"/>
  <c r="O35" i="14"/>
  <c r="N35" i="14"/>
  <c r="L35" i="14"/>
  <c r="J35" i="14"/>
  <c r="H35" i="14"/>
  <c r="E35" i="14"/>
  <c r="O34" i="14"/>
  <c r="N34" i="14"/>
  <c r="L34" i="14"/>
  <c r="J34" i="14"/>
  <c r="H34" i="14"/>
  <c r="E34" i="14"/>
  <c r="O32" i="14"/>
  <c r="N32" i="14"/>
  <c r="L32" i="14"/>
  <c r="J32" i="14"/>
  <c r="H32" i="14"/>
  <c r="E32" i="14"/>
  <c r="O31" i="14"/>
  <c r="N31" i="14"/>
  <c r="L31" i="14"/>
  <c r="J31" i="14"/>
  <c r="H31" i="14"/>
  <c r="E31" i="14"/>
  <c r="O29" i="14"/>
  <c r="N29" i="14"/>
  <c r="L29" i="14"/>
  <c r="J29" i="14"/>
  <c r="H29" i="14"/>
  <c r="E29" i="14"/>
  <c r="O28" i="14"/>
  <c r="N28" i="14"/>
  <c r="L28" i="14"/>
  <c r="J28" i="14"/>
  <c r="H28" i="14"/>
  <c r="E28" i="14"/>
  <c r="O27" i="14"/>
  <c r="N27" i="14"/>
  <c r="L27" i="14"/>
  <c r="J27" i="14"/>
  <c r="H27" i="14"/>
  <c r="E27" i="14"/>
  <c r="O26" i="14"/>
  <c r="N26" i="14"/>
  <c r="L26" i="14"/>
  <c r="J26" i="14"/>
  <c r="H26" i="14"/>
  <c r="E26" i="14"/>
  <c r="O25" i="14"/>
  <c r="N25" i="14"/>
  <c r="L25" i="14"/>
  <c r="J25" i="14"/>
  <c r="H25" i="14"/>
  <c r="E25" i="14"/>
  <c r="O24" i="14"/>
  <c r="N24" i="14"/>
  <c r="L24" i="14"/>
  <c r="J24" i="14"/>
  <c r="H24" i="14"/>
  <c r="E24" i="14"/>
  <c r="O22" i="14"/>
  <c r="N22" i="14"/>
  <c r="L22" i="14"/>
  <c r="J22" i="14"/>
  <c r="H22" i="14"/>
  <c r="E22" i="14"/>
  <c r="O21" i="14"/>
  <c r="N21" i="14"/>
  <c r="L21" i="14"/>
  <c r="J21" i="14"/>
  <c r="H21" i="14"/>
  <c r="E21" i="14"/>
  <c r="O20" i="14"/>
  <c r="N20" i="14"/>
  <c r="L20" i="14"/>
  <c r="J20" i="14"/>
  <c r="H20" i="14"/>
  <c r="E20" i="14"/>
  <c r="O18" i="14"/>
  <c r="N18" i="14"/>
  <c r="L18" i="14"/>
  <c r="J18" i="14"/>
  <c r="H18" i="14"/>
  <c r="E18" i="14"/>
  <c r="O17" i="14"/>
  <c r="N17" i="14"/>
  <c r="L17" i="14"/>
  <c r="J17" i="14"/>
  <c r="H17" i="14"/>
  <c r="E17" i="14"/>
  <c r="O16" i="14"/>
  <c r="N16" i="14"/>
  <c r="L16" i="14"/>
  <c r="J16" i="14"/>
  <c r="H16" i="14"/>
  <c r="E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M14" i="14" s="1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L14" i="14"/>
  <c r="J14" i="14"/>
  <c r="H14" i="14"/>
  <c r="F14" i="14"/>
  <c r="O13" i="14"/>
  <c r="N13" i="14"/>
  <c r="M13" i="14"/>
  <c r="J13" i="14"/>
  <c r="H13" i="14"/>
  <c r="F13" i="14"/>
  <c r="E13" i="14"/>
  <c r="O12" i="14"/>
  <c r="N12" i="14"/>
  <c r="M12" i="14"/>
  <c r="J12" i="14"/>
  <c r="H12" i="14"/>
  <c r="F12" i="14"/>
  <c r="O11" i="14"/>
  <c r="N11" i="14"/>
  <c r="M11" i="14"/>
  <c r="L11" i="14"/>
  <c r="K11" i="14"/>
  <c r="J11" i="14"/>
  <c r="I11" i="14"/>
  <c r="H11" i="14"/>
  <c r="F11" i="14"/>
  <c r="E11" i="14"/>
  <c r="O10" i="14"/>
  <c r="N10" i="14"/>
  <c r="M10" i="14"/>
  <c r="L10" i="14"/>
  <c r="K10" i="14"/>
  <c r="J10" i="14"/>
  <c r="H10" i="14"/>
  <c r="F10" i="14"/>
  <c r="O8" i="14"/>
  <c r="N8" i="14"/>
  <c r="M8" i="14"/>
  <c r="K8" i="14"/>
  <c r="J8" i="14"/>
  <c r="H8" i="14"/>
  <c r="F8" i="14"/>
  <c r="E8" i="14"/>
  <c r="O7" i="14"/>
  <c r="N7" i="14"/>
  <c r="M7" i="14"/>
  <c r="K7" i="14"/>
  <c r="J7" i="14"/>
  <c r="H7" i="14"/>
  <c r="F7" i="14"/>
  <c r="D7" i="14"/>
  <c r="O6" i="14"/>
  <c r="N6" i="14"/>
  <c r="M6" i="14"/>
  <c r="L6" i="14"/>
  <c r="K6" i="14"/>
  <c r="J6" i="14"/>
  <c r="H6" i="14"/>
  <c r="F6" i="14"/>
  <c r="E6" i="14"/>
  <c r="D6" i="14"/>
  <c r="D28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12" i="14" l="1"/>
  <c r="K13" i="14"/>
  <c r="K37" i="14"/>
  <c r="K14" i="14"/>
  <c r="K18" i="14"/>
  <c r="K108" i="14"/>
  <c r="K105" i="14"/>
  <c r="K103" i="14"/>
  <c r="K101" i="14"/>
  <c r="K98" i="14"/>
  <c r="K96" i="14"/>
  <c r="K94" i="14"/>
  <c r="K88" i="14"/>
  <c r="K78" i="14"/>
  <c r="K76" i="14"/>
  <c r="K82" i="14"/>
  <c r="K84" i="14"/>
  <c r="K87" i="14"/>
  <c r="K107" i="14"/>
  <c r="K104" i="14"/>
  <c r="K102" i="14"/>
  <c r="K99" i="14"/>
  <c r="K97" i="14"/>
  <c r="K95" i="14"/>
  <c r="K93" i="14"/>
  <c r="K79" i="14"/>
  <c r="K77" i="14"/>
  <c r="K75" i="14"/>
  <c r="K73" i="14"/>
  <c r="K81" i="14"/>
  <c r="K83" i="14"/>
  <c r="K85" i="14"/>
  <c r="K74" i="14"/>
  <c r="K17" i="14"/>
  <c r="K22" i="14"/>
  <c r="K27" i="14"/>
  <c r="K32" i="14"/>
  <c r="K50" i="14"/>
  <c r="K66" i="14"/>
  <c r="K61" i="14"/>
  <c r="K55" i="14"/>
  <c r="K47" i="14"/>
  <c r="K67" i="14"/>
  <c r="K62" i="14"/>
  <c r="K56" i="14"/>
  <c r="K48" i="14"/>
  <c r="K44" i="14"/>
  <c r="K43" i="14"/>
  <c r="K68" i="14"/>
  <c r="K64" i="14"/>
  <c r="K57" i="14"/>
  <c r="K52" i="14"/>
  <c r="K45" i="14"/>
  <c r="K40" i="14"/>
  <c r="K65" i="14"/>
  <c r="K60" i="14"/>
  <c r="K59" i="14" s="1"/>
  <c r="K54" i="14"/>
  <c r="K46" i="14"/>
  <c r="K41" i="14"/>
  <c r="K16" i="14"/>
  <c r="K21" i="14"/>
  <c r="K26" i="14"/>
  <c r="K31" i="14"/>
  <c r="K36" i="14"/>
  <c r="K20" i="14"/>
  <c r="K25" i="14"/>
  <c r="K29" i="14"/>
  <c r="K35" i="14"/>
  <c r="K24" i="14"/>
  <c r="K28" i="14"/>
  <c r="K34" i="14"/>
  <c r="M104" i="14"/>
  <c r="M99" i="14"/>
  <c r="M95" i="14"/>
  <c r="M84" i="14"/>
  <c r="M77" i="14"/>
  <c r="M105" i="14"/>
  <c r="M101" i="14"/>
  <c r="M96" i="14"/>
  <c r="M83" i="14"/>
  <c r="M78" i="14"/>
  <c r="M74" i="14"/>
  <c r="M107" i="14"/>
  <c r="M102" i="14"/>
  <c r="M97" i="14"/>
  <c r="M93" i="14"/>
  <c r="M82" i="14"/>
  <c r="M87" i="14"/>
  <c r="M79" i="14"/>
  <c r="M75" i="14"/>
  <c r="M108" i="14"/>
  <c r="M103" i="14"/>
  <c r="M98" i="14"/>
  <c r="M94" i="14"/>
  <c r="M81" i="14"/>
  <c r="M85" i="14"/>
  <c r="M88" i="14"/>
  <c r="M76" i="14"/>
  <c r="M73" i="14"/>
  <c r="M50" i="14"/>
  <c r="M68" i="14"/>
  <c r="M67" i="14"/>
  <c r="M66" i="14"/>
  <c r="M65" i="14"/>
  <c r="M64" i="14"/>
  <c r="M62" i="14"/>
  <c r="M61" i="14"/>
  <c r="M60" i="14"/>
  <c r="M57" i="14"/>
  <c r="M56" i="14"/>
  <c r="M55" i="14"/>
  <c r="M54" i="14"/>
  <c r="M52" i="14"/>
  <c r="M48" i="14"/>
  <c r="M47" i="14"/>
  <c r="M46" i="14"/>
  <c r="M45" i="14"/>
  <c r="M44" i="14"/>
  <c r="M43" i="14"/>
  <c r="M41" i="14"/>
  <c r="M40" i="14"/>
  <c r="M16" i="14"/>
  <c r="M17" i="14"/>
  <c r="M18" i="14"/>
  <c r="M20" i="14"/>
  <c r="M21" i="14"/>
  <c r="M22" i="14"/>
  <c r="M24" i="14"/>
  <c r="M25" i="14"/>
  <c r="M26" i="14"/>
  <c r="M27" i="14"/>
  <c r="M28" i="14"/>
  <c r="M29" i="14"/>
  <c r="M31" i="14"/>
  <c r="M32" i="14"/>
  <c r="M34" i="14"/>
  <c r="M35" i="14"/>
  <c r="M36" i="14"/>
  <c r="M37" i="14"/>
  <c r="G17" i="14"/>
  <c r="G37" i="14"/>
  <c r="G32" i="14"/>
  <c r="G35" i="14"/>
  <c r="G22" i="14"/>
  <c r="G27" i="14"/>
  <c r="G18" i="14"/>
  <c r="G24" i="14"/>
  <c r="G28" i="14"/>
  <c r="G34" i="14"/>
  <c r="G104" i="14"/>
  <c r="G103" i="14"/>
  <c r="G99" i="14"/>
  <c r="G96" i="14"/>
  <c r="G93" i="14"/>
  <c r="G78" i="14"/>
  <c r="G105" i="14"/>
  <c r="G102" i="14"/>
  <c r="G98" i="14"/>
  <c r="G95" i="14"/>
  <c r="G88" i="14"/>
  <c r="G77" i="14"/>
  <c r="G74" i="14"/>
  <c r="G73" i="14"/>
  <c r="G81" i="14"/>
  <c r="G82" i="14"/>
  <c r="G83" i="14"/>
  <c r="G84" i="14"/>
  <c r="G85" i="14"/>
  <c r="G87" i="14"/>
  <c r="G108" i="14"/>
  <c r="G107" i="14"/>
  <c r="G101" i="14"/>
  <c r="G97" i="14"/>
  <c r="G94" i="14"/>
  <c r="G79" i="14"/>
  <c r="G76" i="14"/>
  <c r="G75" i="14"/>
  <c r="G20" i="14"/>
  <c r="G25" i="14"/>
  <c r="G29" i="14"/>
  <c r="G50" i="14"/>
  <c r="G68" i="14"/>
  <c r="G64" i="14"/>
  <c r="G57" i="14"/>
  <c r="G52" i="14"/>
  <c r="G45" i="14"/>
  <c r="G40" i="14"/>
  <c r="G54" i="14"/>
  <c r="G41" i="14"/>
  <c r="G67" i="14"/>
  <c r="G62" i="14"/>
  <c r="G56" i="14"/>
  <c r="G48" i="14"/>
  <c r="G44" i="14"/>
  <c r="G65" i="14"/>
  <c r="G46" i="14"/>
  <c r="G66" i="14"/>
  <c r="G61" i="14"/>
  <c r="G55" i="14"/>
  <c r="G47" i="14"/>
  <c r="G43" i="14"/>
  <c r="G60" i="14"/>
  <c r="G16" i="14"/>
  <c r="G21" i="14"/>
  <c r="G26" i="14"/>
  <c r="G31" i="14"/>
  <c r="G36" i="14"/>
  <c r="I13" i="14"/>
  <c r="I7" i="14"/>
  <c r="I12" i="14"/>
  <c r="I8" i="14"/>
  <c r="I10" i="14"/>
  <c r="I6" i="14"/>
  <c r="I14" i="14"/>
  <c r="I37" i="14"/>
  <c r="I17" i="14"/>
  <c r="I20" i="14"/>
  <c r="I22" i="14"/>
  <c r="I25" i="14"/>
  <c r="I27" i="14"/>
  <c r="I29" i="14"/>
  <c r="I32" i="14"/>
  <c r="I35" i="14"/>
  <c r="I107" i="14"/>
  <c r="I102" i="14"/>
  <c r="I97" i="14"/>
  <c r="I93" i="14"/>
  <c r="I84" i="14"/>
  <c r="I79" i="14"/>
  <c r="I75" i="14"/>
  <c r="I103" i="14"/>
  <c r="I76" i="14"/>
  <c r="I105" i="14"/>
  <c r="I101" i="14"/>
  <c r="I96" i="14"/>
  <c r="I81" i="14"/>
  <c r="I85" i="14"/>
  <c r="I78" i="14"/>
  <c r="I74" i="14"/>
  <c r="I98" i="14"/>
  <c r="I83" i="14"/>
  <c r="I88" i="14"/>
  <c r="I104" i="14"/>
  <c r="I99" i="14"/>
  <c r="I95" i="14"/>
  <c r="I82" i="14"/>
  <c r="I87" i="14"/>
  <c r="I77" i="14"/>
  <c r="I73" i="14"/>
  <c r="I108" i="14"/>
  <c r="I94" i="14"/>
  <c r="I50" i="14"/>
  <c r="I68" i="14"/>
  <c r="I66" i="14"/>
  <c r="I64" i="14"/>
  <c r="I61" i="14"/>
  <c r="I57" i="14"/>
  <c r="I55" i="14"/>
  <c r="I52" i="14"/>
  <c r="I47" i="14"/>
  <c r="I45" i="14"/>
  <c r="I43" i="14"/>
  <c r="I40" i="14"/>
  <c r="I67" i="14"/>
  <c r="I65" i="14"/>
  <c r="I62" i="14"/>
  <c r="I60" i="14"/>
  <c r="I56" i="14"/>
  <c r="I54" i="14"/>
  <c r="I48" i="14"/>
  <c r="I46" i="14"/>
  <c r="I44" i="14"/>
  <c r="I41" i="14"/>
  <c r="I16" i="14"/>
  <c r="I18" i="14"/>
  <c r="I21" i="14"/>
  <c r="I24" i="14"/>
  <c r="I26" i="14"/>
  <c r="I28" i="14"/>
  <c r="I31" i="14"/>
  <c r="I34" i="14"/>
  <c r="I36" i="14"/>
  <c r="F37" i="14"/>
  <c r="F22" i="14"/>
  <c r="F17" i="14"/>
  <c r="F82" i="14"/>
  <c r="F84" i="14"/>
  <c r="F87" i="14"/>
  <c r="F108" i="14"/>
  <c r="F105" i="14"/>
  <c r="F103" i="14"/>
  <c r="F101" i="14"/>
  <c r="F81" i="14"/>
  <c r="F83" i="14"/>
  <c r="F85" i="14"/>
  <c r="F96" i="14"/>
  <c r="F88" i="14"/>
  <c r="F74" i="14"/>
  <c r="F107" i="14"/>
  <c r="F104" i="14"/>
  <c r="F102" i="14"/>
  <c r="F99" i="14"/>
  <c r="F97" i="14"/>
  <c r="F95" i="14"/>
  <c r="F93" i="14"/>
  <c r="F79" i="14"/>
  <c r="F77" i="14"/>
  <c r="F75" i="14"/>
  <c r="F73" i="14"/>
  <c r="F98" i="14"/>
  <c r="F94" i="14"/>
  <c r="F78" i="14"/>
  <c r="F76" i="14"/>
  <c r="F20" i="14"/>
  <c r="F25" i="14"/>
  <c r="F29" i="14"/>
  <c r="F35" i="14"/>
  <c r="F18" i="14"/>
  <c r="F24" i="14"/>
  <c r="F28" i="14"/>
  <c r="F34" i="14"/>
  <c r="F27" i="14"/>
  <c r="F32" i="14"/>
  <c r="F50" i="14"/>
  <c r="F49" i="14" s="1"/>
  <c r="F68" i="14"/>
  <c r="F64" i="14"/>
  <c r="F57" i="14"/>
  <c r="F52" i="14"/>
  <c r="F48" i="14"/>
  <c r="F44" i="14"/>
  <c r="F65" i="14"/>
  <c r="F60" i="14"/>
  <c r="F54" i="14"/>
  <c r="F45" i="14"/>
  <c r="F40" i="14"/>
  <c r="F66" i="14"/>
  <c r="F61" i="14"/>
  <c r="F55" i="14"/>
  <c r="F46" i="14"/>
  <c r="F41" i="14"/>
  <c r="F47" i="14"/>
  <c r="F43" i="14"/>
  <c r="F67" i="14"/>
  <c r="F62" i="14"/>
  <c r="F56" i="14"/>
  <c r="F16" i="14"/>
  <c r="F21" i="14"/>
  <c r="F26" i="14"/>
  <c r="F31" i="14"/>
  <c r="F36" i="14"/>
  <c r="D40" i="14"/>
  <c r="D50" i="14"/>
  <c r="D49" i="14" s="1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K86" i="14" l="1"/>
  <c r="M86" i="14"/>
  <c r="M59" i="14"/>
  <c r="G86" i="14"/>
  <c r="I59" i="14"/>
  <c r="I86" i="14"/>
  <c r="F86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H81" i="13" s="1"/>
  <c r="L91" i="14"/>
  <c r="L81" i="13" s="1"/>
  <c r="P91" i="14"/>
  <c r="P81" i="13" s="1"/>
  <c r="D71" i="14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<sst xmlns="http://schemas.openxmlformats.org/spreadsheetml/2006/main" count="3278" uniqueCount="1670">
  <si>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</si>
  <si>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</si>
  <si>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</si>
  <si>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</si>
  <si>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</si>
  <si>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</si>
  <si>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</si>
  <si>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</si>
  <si>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</si>
  <si>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</si>
  <si>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</si>
  <si>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</si>
  <si>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</si>
  <si>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</si>
  <si>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</si>
  <si>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</si>
  <si>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</si>
  <si>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</si>
  <si>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</si>
  <si>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</si>
  <si>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</si>
  <si>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</si>
  <si>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</si>
  <si>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</si>
  <si>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</si>
  <si>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</si>
  <si>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</si>
  <si>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</si>
  <si>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</si>
  <si>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</si>
  <si>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</si>
  <si>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</si>
  <si>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</si>
  <si>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</si>
  <si>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</si>
  <si>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</si>
  <si>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</si>
  <si>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</si>
  <si>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</si>
  <si>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</si>
  <si>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</si>
  <si>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</si>
  <si>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</si>
  <si>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</si>
  <si>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</si>
  <si>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</si>
  <si>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</si>
  <si>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</si>
  <si>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</si>
  <si>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</si>
  <si>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</si>
  <si>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</si>
  <si>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</si>
  <si>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</si>
  <si>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</si>
  <si>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</si>
  <si>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</si>
  <si>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</si>
  <si>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</si>
  <si>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</si>
  <si>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</si>
  <si>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</si>
  <si>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</si>
  <si>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</si>
  <si>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</si>
  <si>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</si>
  <si>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</si>
  <si>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</si>
  <si>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</si>
  <si>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</si>
  <si>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</si>
  <si>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</si>
  <si>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</si>
  <si>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</si>
  <si>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</si>
  <si>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</si>
  <si>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</si>
  <si>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</si>
  <si>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</si>
  <si>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</si>
  <si>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</si>
  <si>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</si>
  <si>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</si>
  <si>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</si>
  <si>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</si>
  <si>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</si>
  <si>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</si>
  <si>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</si>
  <si>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</si>
  <si>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</si>
  <si>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</si>
  <si>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</si>
  <si>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</si>
  <si>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</si>
  <si>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</si>
  <si>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</si>
  <si>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</si>
  <si>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</si>
  <si>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</si>
  <si>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</si>
  <si>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</si>
  <si>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</si>
  <si>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</si>
  <si>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</si>
  <si>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</si>
  <si>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</si>
  <si>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</si>
  <si>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</si>
  <si>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</si>
  <si>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</si>
  <si>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</si>
  <si>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</si>
  <si>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</si>
  <si>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</si>
  <si>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</si>
  <si>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</si>
  <si>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</si>
  <si>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</si>
  <si>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</si>
  <si>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</si>
  <si>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</si>
  <si>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</si>
  <si>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</si>
  <si>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</si>
  <si>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</si>
  <si>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</si>
  <si>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</si>
  <si>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</si>
  <si>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</si>
  <si>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</si>
  <si>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</si>
  <si>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</si>
  <si>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</si>
  <si>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</si>
  <si>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</si>
  <si>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</si>
  <si>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</si>
  <si>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</si>
  <si>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</si>
  <si>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</si>
  <si>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</si>
  <si>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</si>
  <si>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</si>
  <si>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</si>
  <si>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</si>
  <si>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</si>
  <si>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</si>
  <si>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</si>
  <si>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</si>
  <si>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</si>
  <si>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</si>
  <si>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</si>
  <si>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</si>
  <si>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</si>
  <si>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</si>
  <si>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</si>
  <si>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</si>
  <si>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</si>
  <si>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</si>
  <si>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</si>
  <si>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</si>
  <si>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</si>
  <si>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</si>
  <si>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</si>
  <si>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</si>
  <si>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</si>
  <si>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</si>
  <si>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</si>
  <si>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</si>
  <si>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</si>
  <si>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</si>
  <si>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</si>
  <si>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</si>
  <si>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</si>
  <si>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</si>
  <si>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</si>
  <si>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</si>
  <si>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</si>
  <si>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</si>
  <si>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</si>
  <si>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</si>
  <si>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</si>
  <si>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</si>
  <si>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</si>
  <si>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</si>
  <si>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</si>
  <si>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</si>
  <si>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</si>
  <si>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</si>
  <si>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</si>
  <si>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</si>
  <si>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</si>
  <si>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</si>
  <si>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</si>
  <si>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</si>
  <si>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</si>
  <si>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</si>
  <si>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</si>
  <si>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</si>
  <si>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</si>
  <si>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</si>
  <si>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</si>
  <si>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</si>
  <si>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</si>
  <si>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</si>
  <si>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</si>
  <si>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</si>
  <si>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</si>
  <si>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</si>
  <si>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</si>
  <si>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</si>
  <si>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</si>
  <si>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</si>
  <si>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</si>
  <si>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</si>
  <si>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</si>
  <si>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</si>
  <si>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</si>
  <si>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</si>
  <si>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</si>
  <si>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</si>
  <si>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</si>
  <si>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</si>
  <si>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</si>
  <si>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</si>
  <si>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</si>
  <si>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</si>
  <si>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</si>
  <si>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</si>
  <si>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</si>
  <si>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</si>
  <si>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</si>
  <si>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</si>
  <si>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</si>
  <si>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</si>
  <si>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</si>
  <si>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</si>
  <si>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</si>
  <si>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</si>
  <si>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</si>
  <si>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</si>
  <si>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</si>
  <si>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</si>
  <si>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</si>
  <si>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</si>
  <si>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</si>
  <si>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</si>
  <si>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</si>
  <si>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</si>
  <si>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</si>
  <si>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</si>
  <si>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</si>
  <si>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</si>
  <si>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</si>
  <si>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</si>
  <si>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</si>
  <si>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</si>
  <si>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</si>
  <si>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</si>
  <si>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</si>
  <si>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</si>
  <si>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</si>
  <si>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</si>
  <si>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</si>
  <si>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</si>
  <si>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</si>
  <si>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</si>
  <si>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</si>
  <si>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</si>
  <si>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</si>
  <si>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</si>
  <si>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</si>
  <si>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</si>
  <si>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</si>
  <si>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</si>
  <si>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</si>
  <si>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</si>
  <si>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</si>
  <si>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</si>
  <si>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</si>
  <si>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</si>
  <si>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</si>
  <si>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</si>
  <si>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</si>
  <si>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</si>
  <si>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</si>
  <si>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</si>
  <si>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</si>
  <si>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</si>
  <si>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</si>
  <si>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</si>
  <si>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</si>
  <si>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</si>
  <si>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</si>
  <si>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</si>
  <si>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</si>
  <si>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</si>
  <si>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</si>
  <si>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</si>
  <si>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</si>
  <si>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</si>
  <si>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</si>
  <si>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</si>
  <si>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</si>
  <si>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</si>
  <si>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</si>
  <si>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</si>
  <si>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</si>
  <si>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</si>
  <si>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</si>
  <si>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</si>
  <si>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</si>
  <si>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</si>
  <si>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</si>
  <si>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</si>
  <si>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</si>
  <si>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</si>
  <si>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</si>
  <si>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</si>
  <si>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</si>
  <si>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</si>
  <si>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</si>
  <si>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</si>
  <si>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</si>
  <si>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</si>
  <si>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</si>
  <si>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</si>
  <si>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</si>
  <si>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</si>
  <si>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</si>
  <si>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</si>
  <si>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</si>
  <si>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</si>
  <si>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</si>
  <si>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</si>
  <si>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</si>
  <si>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</si>
  <si>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</si>
  <si>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</si>
  <si>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</si>
  <si>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</si>
  <si>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</si>
  <si>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</si>
  <si>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</si>
  <si>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</si>
  <si>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</si>
  <si>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</si>
  <si>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</si>
  <si>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</si>
  <si>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</si>
  <si>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</si>
  <si>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</si>
  <si>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</si>
  <si>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</si>
  <si>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</si>
  <si>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</si>
  <si>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</si>
  <si>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</si>
  <si>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</si>
  <si>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</si>
  <si>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</si>
  <si>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</si>
  <si>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</si>
  <si>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</si>
  <si>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</si>
  <si>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</si>
  <si>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</si>
  <si>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</si>
  <si>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</si>
  <si>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</si>
  <si>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</si>
  <si>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</si>
  <si>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</si>
  <si>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</si>
  <si>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</si>
  <si>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</si>
  <si>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</si>
  <si>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</si>
  <si>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</si>
  <si>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</si>
  <si>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</si>
  <si>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</si>
  <si>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</si>
  <si>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</si>
  <si>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</si>
  <si>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</si>
  <si>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</si>
  <si>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</si>
  <si>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</si>
  <si>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</si>
  <si>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</si>
  <si>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</si>
  <si>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</si>
  <si>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</si>
  <si>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</si>
  <si>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</si>
  <si>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</si>
  <si>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</si>
  <si>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</si>
  <si>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</si>
  <si>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</si>
  <si>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</si>
  <si>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</si>
  <si>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</si>
  <si>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</si>
  <si>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</si>
  <si>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</si>
  <si>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</si>
  <si>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</si>
  <si>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</si>
  <si>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</si>
  <si>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</si>
  <si>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</si>
  <si>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</si>
  <si>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</si>
  <si>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</si>
  <si>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</si>
  <si>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</si>
  <si>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</si>
  <si>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</si>
  <si>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</si>
  <si>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</si>
  <si>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</si>
  <si>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</si>
  <si>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</si>
  <si>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</si>
  <si>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</si>
  <si>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</si>
  <si>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</si>
  <si>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</si>
  <si>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</si>
  <si>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</si>
  <si>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</si>
  <si>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</si>
  <si>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</si>
  <si>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</si>
  <si>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</si>
  <si>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</si>
  <si>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</si>
  <si>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</si>
  <si>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</si>
  <si>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</si>
  <si>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</si>
  <si>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</si>
  <si>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</si>
  <si>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</si>
  <si>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</si>
  <si>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</si>
  <si>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</si>
  <si>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</si>
  <si>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</si>
  <si>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</si>
  <si>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</si>
  <si>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</si>
  <si>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</si>
  <si>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</si>
  <si>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</si>
  <si>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</si>
  <si>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</si>
  <si>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</si>
  <si>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</si>
  <si>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</si>
  <si>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</si>
  <si>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</si>
  <si>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</si>
  <si>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</si>
  <si>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</si>
  <si>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</si>
  <si>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</si>
  <si>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</si>
  <si>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</si>
  <si>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</si>
  <si>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</si>
  <si>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</si>
  <si>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</si>
  <si>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</si>
  <si>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</si>
  <si>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</si>
  <si>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</si>
  <si>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</si>
  <si>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</si>
  <si>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</si>
  <si>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</si>
  <si>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</si>
  <si>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</si>
  <si>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</si>
  <si>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</si>
  <si>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</si>
  <si>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</si>
  <si>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</si>
  <si>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</si>
  <si>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</si>
  <si>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</si>
  <si>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</si>
  <si>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</si>
  <si>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</si>
  <si>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</si>
  <si>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</si>
  <si>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</si>
  <si>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</si>
  <si>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</si>
  <si>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</si>
  <si>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</si>
  <si>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</si>
  <si>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</si>
  <si>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</si>
  <si>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</si>
  <si>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</si>
  <si>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</si>
  <si>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</si>
  <si>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</si>
  <si>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</si>
  <si>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</si>
  <si>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</si>
  <si>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</si>
  <si>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</si>
  <si>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</si>
  <si>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</si>
  <si>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</si>
  <si>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</si>
  <si>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</si>
  <si>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</si>
  <si>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</si>
  <si>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</si>
  <si>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</si>
  <si>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</si>
  <si>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</si>
  <si>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</si>
  <si>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</si>
  <si>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</si>
  <si>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</si>
  <si>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</si>
  <si>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</si>
  <si>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</si>
  <si>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</si>
  <si>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</si>
  <si>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</si>
  <si>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</si>
  <si>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</si>
  <si>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</si>
  <si>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</si>
  <si>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</si>
  <si>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</si>
  <si>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</si>
  <si>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</si>
  <si>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</si>
  <si>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</si>
  <si>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</si>
  <si>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</si>
  <si>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</si>
  <si>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</si>
  <si>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</si>
  <si>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</si>
  <si>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</si>
  <si>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</si>
  <si>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</si>
  <si>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</si>
  <si>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</si>
  <si>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</si>
  <si>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</si>
  <si>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</si>
  <si>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</si>
  <si>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</si>
  <si>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</si>
  <si>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</si>
  <si>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</si>
  <si>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</si>
  <si>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</si>
  <si>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</si>
  <si>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</si>
  <si>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</si>
  <si>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</si>
  <si>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</si>
  <si>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</si>
  <si>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</si>
  <si>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</si>
  <si>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</si>
  <si>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</si>
  <si>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</si>
  <si>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</si>
  <si>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</si>
  <si>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</si>
  <si>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</si>
  <si>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</si>
  <si>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</si>
  <si>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</si>
  <si>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</si>
  <si>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</si>
  <si>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</si>
  <si>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</si>
  <si>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</si>
  <si>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</si>
  <si>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</si>
  <si>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</si>
  <si>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</si>
  <si>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</si>
  <si>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</si>
  <si>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</si>
  <si>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</si>
  <si>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</si>
  <si>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</si>
  <si>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</si>
  <si>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</si>
  <si>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</si>
  <si>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</si>
  <si>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</si>
  <si>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</si>
  <si>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</si>
  <si>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</si>
  <si>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</si>
  <si>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</si>
  <si>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</si>
  <si>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</si>
  <si>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</si>
  <si>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</si>
  <si>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</si>
  <si>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</si>
  <si>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</si>
  <si>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</si>
  <si>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</si>
  <si>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</si>
  <si>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</si>
  <si>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</si>
  <si>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</si>
  <si>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</si>
  <si>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</si>
  <si>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</si>
  <si>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</si>
  <si>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</si>
  <si>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</si>
  <si>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</si>
  <si>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</si>
  <si>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</si>
  <si>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</si>
  <si>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</si>
  <si>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</si>
  <si>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</si>
  <si>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</si>
  <si>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</si>
  <si>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</si>
  <si>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</si>
  <si>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</si>
  <si>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</si>
  <si>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</si>
  <si>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</si>
  <si>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</si>
  <si>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</si>
  <si>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</si>
  <si>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</si>
  <si>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</si>
  <si>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</si>
  <si>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</si>
  <si>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</si>
  <si>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</si>
  <si>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</si>
  <si>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</si>
  <si>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</si>
  <si>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</si>
  <si>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</si>
  <si>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</si>
  <si>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</si>
  <si>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</si>
  <si>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</si>
  <si>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</si>
  <si>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</si>
  <si>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</si>
  <si>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</si>
  <si>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</si>
  <si>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</si>
  <si>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</si>
  <si>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</si>
  <si>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</si>
  <si>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</si>
  <si>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</si>
  <si>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</si>
  <si>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</si>
  <si>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</si>
  <si>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</si>
  <si>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</si>
  <si>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</si>
  <si>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</si>
  <si>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</si>
  <si>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</si>
  <si>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</si>
  <si>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</si>
  <si>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</si>
  <si>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</si>
  <si>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</si>
  <si>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</si>
  <si>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</si>
  <si>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</si>
  <si>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</si>
  <si>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</si>
  <si>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</si>
  <si>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</si>
  <si>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</si>
  <si>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</si>
  <si>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</si>
  <si>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</si>
  <si>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</si>
  <si>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</si>
  <si>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</si>
  <si>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</si>
  <si>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</si>
  <si>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</si>
  <si>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</si>
  <si>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</si>
  <si>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</si>
  <si>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</si>
  <si>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</si>
  <si>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</si>
  <si>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</si>
  <si>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</si>
  <si>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</si>
  <si>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</si>
  <si>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</si>
  <si>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</si>
  <si>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</si>
  <si>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</si>
  <si>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</si>
  <si>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</si>
  <si>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</si>
  <si>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</si>
  <si>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</si>
  <si>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</si>
  <si>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</si>
  <si>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</si>
  <si>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</si>
  <si>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</si>
  <si>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</si>
  <si>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</si>
  <si>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</si>
  <si>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</si>
  <si>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</si>
  <si>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</si>
  <si>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</si>
  <si>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</si>
  <si>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</si>
  <si>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</si>
  <si>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</si>
  <si>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</si>
  <si>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</si>
  <si>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</si>
  <si>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</si>
  <si>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</si>
  <si>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</si>
  <si>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</si>
  <si>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</si>
  <si>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</si>
  <si>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</si>
  <si>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</si>
  <si>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</si>
  <si>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</si>
  <si>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</si>
  <si>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</si>
  <si>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</si>
  <si>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</si>
  <si>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</si>
  <si>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</si>
  <si>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</si>
  <si>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</si>
  <si>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</si>
  <si>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</si>
  <si>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</si>
  <si>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</si>
  <si>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</si>
  <si>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</si>
  <si>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</si>
  <si>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</si>
  <si>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</si>
  <si>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</si>
  <si>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</si>
  <si>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</si>
  <si>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</si>
  <si>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</si>
  <si>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</si>
  <si>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</si>
  <si>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</si>
  <si>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</si>
  <si>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</si>
  <si>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</si>
  <si>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</si>
  <si>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</si>
  <si>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</si>
  <si>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</si>
  <si>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</si>
  <si>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</si>
  <si>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</si>
  <si>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</si>
  <si>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</si>
  <si>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</si>
  <si>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</si>
  <si>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</si>
  <si>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</si>
  <si>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</si>
  <si>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</si>
  <si>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</si>
  <si>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</si>
  <si>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</si>
  <si>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</si>
  <si>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</si>
  <si>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</si>
  <si>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</si>
  <si>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</si>
  <si>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</si>
  <si>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</si>
  <si>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</si>
  <si>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</si>
  <si>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</si>
  <si>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</si>
  <si>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</si>
  <si>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</si>
  <si>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</si>
  <si>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</si>
  <si>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</si>
  <si>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</si>
  <si>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</si>
  <si>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</si>
  <si>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</si>
  <si>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</si>
  <si>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</si>
  <si>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</si>
  <si>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</si>
  <si>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</si>
  <si>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</si>
  <si>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</si>
  <si>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</si>
  <si>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</si>
  <si>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</si>
  <si>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</si>
  <si>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</si>
  <si>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</si>
  <si>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</si>
  <si>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</si>
  <si>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</si>
  <si>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</si>
  <si>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</si>
  <si>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</si>
  <si>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</si>
  <si>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</si>
  <si>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</si>
  <si>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</si>
  <si>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PRIJEDLOG FINANCIJSKOG PLANA ZA 2020. I PROJEKCIJA PLANA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</si>
  <si>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</si>
  <si>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</si>
  <si>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</si>
  <si>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</si>
  <si>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</si>
  <si>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</si>
  <si>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</si>
  <si>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</si>
  <si>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</si>
  <si>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</si>
  <si>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</si>
  <si>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</si>
  <si>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</si>
  <si>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</si>
  <si>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</si>
  <si>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</si>
  <si>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</si>
  <si>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</si>
  <si>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</si>
  <si>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</si>
  <si>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</si>
  <si>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</si>
  <si>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</si>
  <si>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</si>
  <si>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</si>
  <si>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</si>
  <si>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</si>
  <si>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</si>
  <si>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</si>
  <si>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</si>
  <si>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</si>
  <si>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</si>
  <si>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</si>
  <si>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</si>
  <si>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</si>
  <si>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</si>
  <si>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</si>
  <si>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</si>
  <si>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</si>
  <si>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</si>
  <si>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</si>
  <si>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</si>
  <si>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</si>
  <si>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</si>
  <si>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</si>
  <si>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</si>
  <si>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</si>
  <si>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</si>
  <si>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</si>
  <si>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</si>
  <si>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</si>
  <si>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</si>
  <si>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</si>
  <si>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</si>
  <si>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</si>
  <si>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</si>
  <si>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</si>
  <si>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</si>
  <si>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</si>
  <si>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</si>
  <si>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</si>
  <si>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</si>
  <si>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</si>
  <si>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</si>
  <si>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</si>
  <si>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</si>
  <si>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</si>
  <si>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</si>
  <si>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</si>
  <si>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</si>
  <si>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</si>
  <si>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</si>
  <si>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</si>
  <si>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</si>
  <si>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</si>
  <si>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</si>
  <si>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</si>
  <si>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</si>
  <si>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</si>
  <si>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</si>
  <si>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</si>
  <si>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</si>
  <si>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</si>
  <si>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</si>
  <si>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</si>
  <si>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</si>
  <si>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</si>
  <si>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</si>
  <si>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</si>
  <si>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</si>
  <si>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</si>
  <si>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</si>
  <si>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</si>
  <si>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</si>
  <si>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</si>
  <si>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</si>
  <si>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</si>
  <si>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</si>
  <si>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</si>
  <si>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</si>
  <si>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</si>
  <si>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</si>
  <si>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</si>
  <si>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</si>
  <si>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</si>
  <si>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</si>
  <si>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</si>
  <si>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</si>
  <si>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</si>
  <si>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</si>
  <si>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</si>
  <si>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</si>
  <si>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</si>
  <si>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</si>
  <si>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</si>
  <si>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</si>
  <si>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</si>
  <si>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</si>
  <si>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</si>
  <si>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</si>
  <si>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</si>
  <si>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</si>
  <si>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</si>
  <si>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</si>
  <si>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</si>
  <si>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</si>
  <si>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</si>
  <si>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</si>
  <si>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</si>
  <si>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</si>
  <si>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</si>
  <si>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</si>
  <si>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</si>
  <si>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</si>
  <si>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</si>
  <si>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</si>
  <si>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</si>
  <si>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</si>
  <si>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</si>
  <si>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</si>
  <si>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</si>
  <si>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</si>
  <si>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</si>
  <si>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</si>
  <si>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</si>
  <si>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</si>
  <si>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</si>
  <si>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</si>
  <si>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</si>
  <si>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</si>
  <si>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</si>
  <si>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</si>
  <si>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</si>
  <si>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</si>
  <si>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</si>
  <si>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</si>
  <si>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</si>
  <si>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</si>
  <si>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</si>
  <si>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</si>
  <si>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</si>
  <si>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</si>
  <si>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</si>
  <si>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</si>
  <si>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</si>
  <si>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</si>
  <si>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</si>
  <si>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</si>
  <si>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</si>
  <si>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</si>
  <si>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</si>
  <si>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</si>
  <si>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</si>
  <si>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</si>
  <si>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</si>
  <si>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</si>
  <si>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</si>
  <si>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</si>
  <si>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</si>
  <si>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</si>
  <si>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</si>
  <si>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</si>
  <si>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</si>
  <si>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</si>
  <si>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</si>
  <si>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</si>
  <si>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</si>
  <si>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</si>
  <si>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</si>
  <si>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</si>
  <si>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</si>
  <si>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</si>
  <si>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</si>
  <si>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</si>
  <si>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</si>
  <si>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</si>
  <si>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</si>
  <si>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</si>
  <si>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</si>
  <si>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</si>
  <si>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</si>
  <si>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</si>
  <si>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</si>
  <si>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</si>
  <si>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</si>
  <si>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</si>
  <si>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</si>
  <si>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</si>
  <si>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</si>
  <si>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</si>
  <si>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</si>
  <si>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</si>
  <si>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</si>
  <si>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</si>
  <si>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</si>
  <si>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</si>
  <si>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</si>
  <si>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</si>
  <si>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</si>
  <si>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</si>
  <si>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</si>
  <si>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</si>
  <si>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</si>
  <si>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</si>
  <si>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</si>
  <si>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</si>
  <si>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</si>
  <si>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</si>
  <si>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</si>
  <si>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</si>
  <si>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</si>
  <si>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</si>
  <si>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</si>
  <si>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</si>
  <si>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</si>
  <si>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</si>
  <si>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</si>
  <si>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</si>
  <si>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</si>
  <si>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</si>
  <si>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</si>
  <si>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</si>
  <si>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</si>
  <si>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</si>
  <si>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</si>
  <si>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</si>
  <si>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</si>
  <si>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</si>
  <si>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</si>
  <si>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</si>
  <si>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</si>
  <si>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</si>
  <si>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</si>
  <si>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</si>
  <si>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</si>
  <si>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</si>
  <si>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</si>
  <si>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</si>
  <si>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</si>
  <si>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</si>
  <si>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</si>
  <si>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</si>
  <si>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</si>
  <si>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</si>
  <si>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</si>
  <si>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</si>
  <si>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</si>
  <si>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</si>
  <si>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</si>
  <si>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</si>
  <si>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</si>
  <si>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</si>
  <si>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</si>
  <si>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</si>
  <si>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</si>
  <si>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</si>
  <si>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</si>
  <si>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</si>
  <si>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</si>
  <si>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</si>
  <si>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</si>
  <si>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</si>
  <si>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</si>
  <si>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</si>
  <si>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</si>
  <si>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</si>
  <si>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</si>
  <si>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</si>
  <si>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</si>
  <si>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</si>
  <si>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</si>
  <si>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</si>
  <si>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</si>
  <si>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</si>
  <si>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</si>
  <si>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</si>
  <si>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</si>
  <si>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</si>
  <si>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</si>
  <si>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</si>
  <si>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</si>
  <si>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</si>
  <si>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</si>
  <si>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</si>
  <si>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</si>
  <si>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</si>
  <si>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</si>
  <si>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</si>
  <si>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</si>
  <si>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</si>
  <si>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</si>
  <si>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</si>
  <si>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</si>
  <si>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</si>
  <si>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</si>
  <si>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</si>
  <si>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</si>
  <si>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</si>
  <si>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</si>
  <si>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</si>
  <si>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</si>
  <si>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</si>
  <si>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</si>
  <si>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</si>
  <si>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</si>
  <si>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</si>
  <si>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</si>
  <si>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</si>
  <si>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</si>
  <si>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</si>
  <si>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</si>
  <si>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</si>
  <si>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</si>
  <si>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</si>
  <si>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</si>
  <si>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</si>
  <si>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</si>
  <si>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</si>
  <si>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</si>
  <si>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</si>
  <si>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</si>
  <si>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</si>
  <si>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</si>
  <si>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</si>
  <si>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</si>
  <si>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</si>
  <si>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</si>
  <si>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</si>
  <si>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</si>
  <si>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</si>
  <si>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</si>
  <si>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</si>
  <si>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</si>
  <si>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</si>
  <si>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</si>
  <si>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</si>
  <si>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</si>
  <si>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</si>
  <si>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</si>
  <si>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</si>
  <si>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</si>
  <si>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</si>
  <si>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</si>
  <si>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</si>
  <si>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</si>
  <si>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</si>
  <si>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</si>
  <si>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</si>
  <si>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</si>
  <si>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</si>
  <si>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</si>
  <si>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</si>
  <si>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</si>
  <si>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</si>
  <si>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</si>
  <si>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</si>
  <si>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</si>
  <si>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</si>
  <si>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</si>
  <si>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</si>
  <si>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</si>
  <si>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</si>
  <si>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</si>
  <si>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</si>
  <si>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</si>
  <si>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</si>
  <si>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</si>
  <si>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</si>
  <si>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</si>
  <si>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</si>
  <si>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</si>
  <si>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</si>
  <si>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</si>
  <si>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</si>
  <si>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</si>
  <si>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</si>
  <si>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</si>
  <si>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</si>
  <si>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</si>
  <si>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</si>
  <si>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</si>
  <si>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</si>
  <si>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</si>
  <si>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</si>
  <si>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</si>
  <si>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</si>
  <si>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</si>
  <si>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</si>
  <si>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</si>
  <si>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</si>
  <si>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</si>
  <si>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</si>
  <si>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</si>
  <si>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</si>
  <si>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</si>
  <si>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</si>
  <si>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</si>
  <si>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</si>
  <si>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</si>
  <si>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</si>
  <si>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</si>
  <si>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</si>
  <si>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</si>
  <si>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</si>
  <si>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</si>
  <si>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</si>
  <si>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</si>
  <si>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</si>
  <si>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</si>
  <si>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</si>
  <si>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</si>
  <si>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</si>
  <si>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</si>
  <si>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</si>
  <si>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</si>
  <si>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</si>
  <si>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</si>
  <si>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</si>
  <si>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</si>
  <si>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</si>
  <si>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</si>
  <si>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</si>
  <si>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</si>
  <si>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</si>
  <si>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</si>
  <si>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</si>
  <si>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</si>
  <si>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</si>
  <si>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</si>
  <si>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</si>
  <si>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</si>
  <si>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</si>
  <si>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</si>
  <si>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</si>
  <si>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</si>
  <si>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</si>
  <si>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</si>
  <si>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</si>
  <si>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</si>
  <si>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</si>
  <si>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</si>
  <si>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</si>
  <si>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</si>
  <si>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</si>
  <si>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</si>
  <si>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</si>
  <si>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</si>
  <si>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</si>
  <si>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</si>
  <si>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</si>
  <si>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</si>
  <si>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</si>
  <si>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</si>
  <si>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</si>
  <si>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</si>
  <si>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</si>
  <si>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</si>
  <si>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</si>
  <si>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</si>
  <si>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</si>
  <si>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</si>
  <si>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</si>
  <si>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</si>
  <si>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</si>
  <si>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</si>
  <si>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</si>
  <si>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</si>
  <si>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</si>
  <si>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</si>
  <si>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</si>
  <si>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</si>
  <si>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</si>
  <si>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</si>
  <si>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</si>
  <si>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</si>
  <si>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</si>
  <si>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</si>
  <si>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</si>
  <si>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</si>
  <si>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</si>
  <si>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</si>
  <si>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</si>
  <si>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</si>
  <si>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</si>
  <si>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</si>
  <si>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</si>
  <si>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</si>
  <si>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</si>
  <si>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</si>
  <si>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</si>
  <si>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</si>
  <si>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</si>
  <si>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</si>
  <si>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</si>
  <si>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</si>
  <si>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</si>
  <si>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</si>
  <si>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</si>
  <si>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</si>
  <si>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</si>
  <si>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</si>
  <si>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</si>
  <si>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</si>
  <si>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</si>
  <si>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</si>
  <si>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</si>
  <si>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</si>
  <si>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</si>
  <si>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</si>
  <si>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</si>
  <si>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</si>
  <si>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</si>
  <si>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</si>
  <si>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</si>
  <si>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</si>
  <si>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</si>
  <si>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</si>
  <si>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</si>
  <si>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</si>
  <si>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</si>
  <si>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</si>
  <si>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</si>
  <si>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</si>
  <si>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</si>
  <si>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</si>
  <si>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</si>
  <si>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</si>
  <si>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</si>
  <si>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</si>
  <si>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</si>
  <si>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</si>
  <si>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</si>
  <si>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</si>
  <si>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</si>
  <si>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</si>
  <si>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</si>
  <si>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</si>
  <si>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</si>
  <si>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</si>
  <si>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</si>
  <si>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</si>
  <si>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</si>
  <si>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</si>
  <si>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</si>
  <si>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</si>
  <si>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</si>
  <si>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</si>
  <si>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</si>
  <si>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</si>
  <si>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</si>
  <si>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</si>
  <si>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</si>
  <si>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</si>
  <si>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</si>
  <si>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</si>
  <si>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</si>
  <si>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</si>
  <si>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</si>
  <si>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</si>
  <si>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</si>
  <si>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</si>
  <si>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</si>
  <si>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</si>
  <si>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</si>
  <si>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</si>
  <si>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</si>
  <si>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</si>
  <si>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</si>
  <si>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</si>
  <si>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</si>
  <si>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</si>
  <si>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</si>
  <si>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</si>
  <si>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</si>
  <si>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</si>
  <si>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</si>
  <si>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</si>
  <si>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</si>
  <si>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</si>
  <si>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</si>
  <si>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</si>
  <si>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</si>
  <si>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</si>
  <si>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</si>
  <si>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</si>
  <si>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</si>
  <si>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</si>
  <si>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</si>
  <si>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</si>
  <si>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</si>
  <si>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</si>
  <si>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</si>
  <si>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</si>
  <si>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</si>
  <si>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</si>
  <si>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</si>
  <si>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</si>
  <si>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</si>
  <si>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</si>
  <si>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</si>
  <si>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</si>
  <si>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</si>
  <si>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</si>
  <si>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</si>
  <si>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</si>
  <si>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</si>
  <si>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</si>
  <si>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</si>
  <si>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</si>
  <si>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</si>
  <si>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</si>
  <si>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</si>
  <si>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</si>
  <si>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</si>
  <si>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</si>
  <si>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</si>
  <si>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</si>
  <si>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</si>
  <si>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</si>
  <si>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</si>
  <si>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</si>
  <si>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</si>
  <si>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</si>
  <si>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</si>
  <si>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</si>
  <si>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</si>
  <si>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</si>
  <si>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</si>
  <si>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</si>
  <si>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</si>
  <si>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</si>
  <si>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</si>
  <si>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</si>
  <si>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</si>
  <si>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</si>
  <si>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</si>
  <si>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</si>
  <si>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</si>
  <si>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</si>
  <si>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</si>
  <si>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</si>
  <si>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</si>
  <si>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</si>
  <si>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</si>
  <si>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</si>
  <si>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</si>
  <si>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</si>
  <si>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</si>
  <si>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</si>
  <si>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</si>
  <si>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</si>
  <si>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</si>
  <si>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</si>
  <si>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</si>
  <si>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</si>
  <si>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</si>
  <si>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</si>
  <si>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</si>
  <si>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</si>
  <si>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</si>
  <si>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</si>
  <si>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</si>
  <si>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</si>
  <si>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</si>
  <si>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</si>
  <si>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</si>
  <si>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</si>
  <si>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</si>
  <si>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</si>
  <si>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</si>
  <si>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</si>
  <si>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</si>
  <si>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</si>
  <si>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</si>
  <si>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</si>
  <si>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</si>
  <si>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</si>
  <si>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</si>
  <si>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</si>
  <si>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</si>
  <si>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</si>
  <si>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</si>
  <si>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</si>
  <si>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</si>
  <si>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</si>
  <si>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</si>
  <si>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</si>
  <si>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</si>
  <si>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</si>
  <si>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</si>
  <si>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</si>
  <si>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</si>
  <si>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</si>
  <si>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</si>
  <si>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</si>
  <si>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</si>
  <si>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</si>
  <si>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</si>
  <si>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</si>
  <si>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</si>
  <si>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</si>
  <si>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</si>
  <si>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</si>
  <si>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</si>
  <si>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</si>
  <si>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</si>
  <si>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</si>
  <si>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</si>
  <si>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</si>
  <si>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</si>
  <si>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</si>
  <si>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</si>
  <si>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</si>
  <si>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</si>
  <si>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</si>
  <si>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</si>
  <si>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</si>
  <si>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</si>
  <si>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</si>
  <si>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</si>
  <si>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</si>
  <si>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</si>
  <si>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</si>
  <si>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</si>
  <si>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</si>
  <si>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</si>
  <si>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</si>
  <si>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</si>
  <si>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</si>
  <si>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</si>
  <si>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</si>
  <si>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</si>
  <si>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</si>
  <si>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</si>
  <si>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</si>
  <si>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</si>
  <si>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</si>
  <si>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</si>
  <si>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</si>
  <si>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</si>
  <si>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</si>
  <si>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</si>
  <si>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</si>
  <si>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</si>
  <si>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</si>
  <si>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</si>
  <si>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</si>
  <si>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</si>
  <si>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</si>
  <si>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</si>
  <si>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</si>
  <si>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</si>
  <si>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</si>
  <si>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</si>
  <si>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</si>
  <si>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</si>
  <si>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</si>
  <si>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</si>
  <si>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</si>
  <si>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</si>
  <si>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</si>
  <si>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</si>
  <si>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</si>
  <si>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</si>
  <si>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</si>
  <si>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</si>
  <si>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</si>
  <si>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</si>
  <si>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</si>
  <si>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</si>
  <si>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</si>
  <si>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</si>
  <si>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</si>
  <si>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</si>
  <si>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</si>
  <si>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</si>
  <si>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</si>
  <si>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</si>
  <si>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</si>
  <si>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</si>
  <si>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</si>
  <si>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</si>
  <si>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</si>
  <si>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</si>
  <si>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</si>
  <si>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</si>
  <si>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</si>
  <si>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</si>
  <si>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</si>
  <si>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</si>
  <si>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</si>
  <si>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</si>
  <si>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</si>
  <si>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</si>
  <si>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</si>
  <si>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</si>
  <si>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</si>
  <si>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</si>
  <si>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</si>
  <si>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</si>
  <si>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</si>
  <si>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</si>
  <si>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23368 SVEUČILIŠTE U SPLITU - KATOLIČKI BOGOSLOVNI FAKULTET</t>
  </si>
  <si>
    <t>SPLIT, 27.09.2019.</t>
  </si>
  <si>
    <t>DUBRAVKA MLADINIĆ</t>
  </si>
  <si>
    <t>021/308-321</t>
  </si>
  <si>
    <t>dmladinic@kbf-st.hr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</si>
</sst>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  <numFmt numFmtId="166" formatCode="#&quot;.&quot;"/>
    <numFmt numFmtId="167" formatCode="00000000"/>
    <numFmt numFmtId="168" formatCode="&quot;- &quot;@"/>
    <numFmt numFmtId="169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6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7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7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7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6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7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7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8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8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8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69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7" fillId="0" borderId="40" xfId="0" applyFont="1" applyBorder="1"/>
    <xf numFmtId="0" fontId="57" fillId="0" borderId="40" xfId="0" applyFont="1" applyBorder="1" applyProtection="1"/>
    <xf numFmtId="0" fontId="59" fillId="0" borderId="0" xfId="2" applyNumberFormat="1" applyFont="1" applyFill="1" applyBorder="1" applyAlignment="1" applyProtection="1">
      <alignment horizontal="center" vertical="center" wrapText="1"/>
    </xf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3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3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>
          <a:extLst>
            <a:ext uri="{FF2B5EF4-FFF2-40B4-BE49-F238E27FC236}">
              <a16:creationId xmlns:a16="http://schemas.microsoft.com/office/drawing/2014/main" id="{00000000-0008-0000-0300-000006340000}"/>
            </a:ext>
          </a:extLst>
        </xdr:cNvPr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>
          <a:extLst>
            <a:ext uri="{FF2B5EF4-FFF2-40B4-BE49-F238E27FC236}">
              <a16:creationId xmlns:a16="http://schemas.microsoft.com/office/drawing/2014/main" id="{00000000-0008-0000-0300-000007340000}"/>
            </a:ext>
          </a:extLst>
        </xdr:cNvPr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>
          <a:extLst>
            <a:ext uri="{FF2B5EF4-FFF2-40B4-BE49-F238E27FC236}">
              <a16:creationId xmlns:a16="http://schemas.microsoft.com/office/drawing/2014/main" id="{00000000-0008-0000-0300-000008340000}"/>
            </a:ext>
          </a:extLst>
        </xdr:cNvPr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3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3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3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3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opLeftCell="A10" workbookViewId="0">
      <selection activeCell="C7" sqref="C7:E7"/>
    </sheetView>
  </sheetViews>
  <sheetFormatPr defaultColWidth="0" defaultRowHeight="1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384</v>
      </c>
      <c r="C3" s="252" t="s">
        <v>1665</v>
      </c>
      <c r="D3" s="253"/>
      <c r="E3" s="254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55" t="s">
        <v>1666</v>
      </c>
      <c r="D4" s="256"/>
      <c r="E4" s="257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55" t="s">
        <v>1667</v>
      </c>
      <c r="D5" s="256"/>
      <c r="E5" s="257"/>
      <c r="F5" s="156"/>
      <c r="G5" s="156"/>
      <c r="H5" s="156"/>
      <c r="I5" s="156"/>
      <c r="J5" s="156"/>
      <c r="K5" s="158" t="s">
        <v>395</v>
      </c>
      <c r="L5" s="158" t="s">
        <v>809</v>
      </c>
      <c r="M5" s="158" t="s">
        <v>396</v>
      </c>
      <c r="N5" s="158" t="s">
        <v>397</v>
      </c>
      <c r="O5" s="158" t="s">
        <v>398</v>
      </c>
      <c r="P5" s="158" t="s">
        <v>399</v>
      </c>
      <c r="Q5" s="158" t="s">
        <v>400</v>
      </c>
      <c r="R5" s="158" t="s">
        <v>401</v>
      </c>
      <c r="S5" s="158" t="s">
        <v>402</v>
      </c>
      <c r="T5" s="158" t="s">
        <v>807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55" t="s">
        <v>1668</v>
      </c>
      <c r="D6" s="256"/>
      <c r="E6" s="257"/>
      <c r="F6" s="156"/>
      <c r="G6" s="156"/>
      <c r="H6" s="156"/>
      <c r="I6" s="156"/>
      <c r="J6" s="156"/>
      <c r="K6" s="155">
        <v>0</v>
      </c>
      <c r="L6" s="155" t="s">
        <v>810</v>
      </c>
      <c r="T6" s="155" t="s">
        <v>836</v>
      </c>
      <c r="U6" s="155" t="s">
        <v>836</v>
      </c>
      <c r="V6" s="156"/>
      <c r="W6" s="156"/>
      <c r="X6" s="156"/>
      <c r="Y6" s="156"/>
      <c r="Z6" s="156"/>
      <c r="AA6" s="156"/>
      <c r="AB6" s="156"/>
    </row>
    <row r="7" spans="1:28" ht="16.5" thickBot="1">
      <c r="A7" s="160"/>
      <c r="B7" s="209" t="s">
        <v>383</v>
      </c>
      <c r="C7" s="255" t="s">
        <v>1669</v>
      </c>
      <c r="D7" s="256"/>
      <c r="E7" s="257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405</v>
      </c>
      <c r="O7" s="163" t="s">
        <v>405</v>
      </c>
      <c r="P7" s="163" t="s">
        <v>406</v>
      </c>
      <c r="Q7" s="163" t="s">
        <v>407</v>
      </c>
      <c r="R7" s="164">
        <v>3049779</v>
      </c>
      <c r="S7" s="165" t="s">
        <v>408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.7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409</v>
      </c>
      <c r="O8" s="163" t="s">
        <v>405</v>
      </c>
      <c r="P8" s="163" t="s">
        <v>410</v>
      </c>
      <c r="Q8" s="163" t="s">
        <v>407</v>
      </c>
      <c r="R8" s="164">
        <v>3021645</v>
      </c>
      <c r="S8" s="165" t="s">
        <v>411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60" t="s">
        <v>842</v>
      </c>
      <c r="C9" s="259"/>
      <c r="D9" s="259"/>
      <c r="E9" s="259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412</v>
      </c>
      <c r="O9" s="163" t="s">
        <v>405</v>
      </c>
      <c r="P9" s="163" t="s">
        <v>413</v>
      </c>
      <c r="Q9" s="163" t="s">
        <v>407</v>
      </c>
      <c r="R9" s="164">
        <v>3392589</v>
      </c>
      <c r="S9" s="165" t="s">
        <v>414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60" t="s">
        <v>3</v>
      </c>
      <c r="C10" s="259"/>
      <c r="D10" s="259"/>
      <c r="E10" s="259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415</v>
      </c>
      <c r="O10" s="163" t="s">
        <v>405</v>
      </c>
      <c r="P10" s="163" t="s">
        <v>416</v>
      </c>
      <c r="Q10" s="163" t="s">
        <v>407</v>
      </c>
      <c r="R10" s="164">
        <v>3014185</v>
      </c>
      <c r="S10" s="165" t="s">
        <v>417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58"/>
      <c r="C11" s="259"/>
      <c r="D11" s="259"/>
      <c r="E11" s="259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418</v>
      </c>
      <c r="O11" s="163" t="s">
        <v>405</v>
      </c>
      <c r="P11" s="167" t="s">
        <v>419</v>
      </c>
      <c r="Q11" s="167" t="s">
        <v>407</v>
      </c>
      <c r="R11" s="168">
        <v>3014347</v>
      </c>
      <c r="S11" s="165" t="s">
        <v>420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421</v>
      </c>
      <c r="O12" s="163" t="s">
        <v>405</v>
      </c>
      <c r="P12" s="163" t="s">
        <v>422</v>
      </c>
      <c r="Q12" s="163" t="s">
        <v>407</v>
      </c>
      <c r="R12" s="164">
        <v>3397335</v>
      </c>
      <c r="S12" s="165" t="s">
        <v>423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837</v>
      </c>
      <c r="D13" s="170" t="s">
        <v>838</v>
      </c>
      <c r="E13" s="170" t="s">
        <v>839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424</v>
      </c>
      <c r="O13" s="163" t="s">
        <v>405</v>
      </c>
      <c r="P13" s="163" t="s">
        <v>425</v>
      </c>
      <c r="Q13" s="163" t="s">
        <v>407</v>
      </c>
      <c r="R13" s="164">
        <v>1388142</v>
      </c>
      <c r="S13" s="165" t="s">
        <v>426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11107203</v>
      </c>
      <c r="D14" s="173">
        <f>+D15+D16</f>
        <v>10961364</v>
      </c>
      <c r="E14" s="173">
        <f>+E15+E16</f>
        <v>11163919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427</v>
      </c>
      <c r="O14" s="163" t="s">
        <v>405</v>
      </c>
      <c r="P14" s="163" t="s">
        <v>428</v>
      </c>
      <c r="Q14" s="163" t="s">
        <v>407</v>
      </c>
      <c r="R14" s="164">
        <v>3058212</v>
      </c>
      <c r="S14" s="165" t="s">
        <v>429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11107203</v>
      </c>
      <c r="D15" s="176">
        <f>'PLAN PRIHODA I PRIMITAKA '!C62</f>
        <v>10961364</v>
      </c>
      <c r="E15" s="176">
        <f>'PLAN PRIHODA I PRIMITAKA '!C98</f>
        <v>11163919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430</v>
      </c>
      <c r="O15" s="163" t="s">
        <v>405</v>
      </c>
      <c r="P15" s="163" t="s">
        <v>431</v>
      </c>
      <c r="Q15" s="163" t="s">
        <v>432</v>
      </c>
      <c r="R15" s="164">
        <v>3014193</v>
      </c>
      <c r="S15" s="165" t="s">
        <v>433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0</v>
      </c>
      <c r="D16" s="176">
        <f>'PLAN PRIHODA I PRIMITAKA '!C69</f>
        <v>0</v>
      </c>
      <c r="E16" s="176">
        <f>'PLAN PRIHODA I PRIMITAKA '!C105</f>
        <v>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434</v>
      </c>
      <c r="O16" s="163" t="s">
        <v>405</v>
      </c>
      <c r="P16" s="163" t="s">
        <v>435</v>
      </c>
      <c r="Q16" s="163" t="s">
        <v>407</v>
      </c>
      <c r="R16" s="164">
        <v>3058204</v>
      </c>
      <c r="S16" s="165" t="s">
        <v>436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11104203</v>
      </c>
      <c r="D17" s="180">
        <f>+D18+D19</f>
        <v>10946364</v>
      </c>
      <c r="E17" s="180">
        <f>+E18+E19</f>
        <v>11146919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437</v>
      </c>
      <c r="O17" s="163" t="s">
        <v>405</v>
      </c>
      <c r="P17" s="163" t="s">
        <v>438</v>
      </c>
      <c r="Q17" s="163" t="s">
        <v>439</v>
      </c>
      <c r="R17" s="164">
        <v>3458091</v>
      </c>
      <c r="S17" s="165" t="s">
        <v>440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11024203</v>
      </c>
      <c r="D18" s="182">
        <f>'PLAN RASHODA I IZDATAKA'!C72</f>
        <v>10934364</v>
      </c>
      <c r="E18" s="182">
        <f>'PLAN RASHODA I IZDATAKA'!C92</f>
        <v>11131919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441</v>
      </c>
      <c r="O18" s="163" t="s">
        <v>405</v>
      </c>
      <c r="P18" s="163" t="s">
        <v>442</v>
      </c>
      <c r="Q18" s="163" t="s">
        <v>407</v>
      </c>
      <c r="R18" s="164">
        <v>1404881</v>
      </c>
      <c r="S18" s="165" t="s">
        <v>443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80000</v>
      </c>
      <c r="D19" s="182">
        <f>'PLAN RASHODA I IZDATAKA'!C80</f>
        <v>12000</v>
      </c>
      <c r="E19" s="182">
        <f>'PLAN RASHODA I IZDATAKA'!C100</f>
        <v>15000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444</v>
      </c>
      <c r="O19" s="163" t="s">
        <v>405</v>
      </c>
      <c r="P19" s="163" t="s">
        <v>445</v>
      </c>
      <c r="Q19" s="163" t="s">
        <v>446</v>
      </c>
      <c r="R19" s="164">
        <v>1986490</v>
      </c>
      <c r="S19" s="165" t="s">
        <v>447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3000</v>
      </c>
      <c r="D20" s="173">
        <f>+D14-D17</f>
        <v>15000</v>
      </c>
      <c r="E20" s="173">
        <f>+E14-E17</f>
        <v>17000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448</v>
      </c>
      <c r="O20" s="163" t="s">
        <v>405</v>
      </c>
      <c r="P20" s="163" t="s">
        <v>449</v>
      </c>
      <c r="Q20" s="163" t="s">
        <v>407</v>
      </c>
      <c r="R20" s="164">
        <v>4748875</v>
      </c>
      <c r="S20" s="165" t="s">
        <v>450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58"/>
      <c r="C21" s="259"/>
      <c r="D21" s="259"/>
      <c r="E21" s="259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451</v>
      </c>
      <c r="O21" s="163" t="s">
        <v>405</v>
      </c>
      <c r="P21" s="163" t="s">
        <v>452</v>
      </c>
      <c r="Q21" s="163" t="s">
        <v>407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837</v>
      </c>
      <c r="D22" s="170" t="s">
        <v>838</v>
      </c>
      <c r="E22" s="170" t="s">
        <v>839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453</v>
      </c>
      <c r="O22" s="163" t="s">
        <v>453</v>
      </c>
      <c r="P22" s="163" t="s">
        <v>454</v>
      </c>
      <c r="Q22" s="163" t="s">
        <v>455</v>
      </c>
      <c r="R22" s="164">
        <v>2161753</v>
      </c>
      <c r="S22" s="165" t="s">
        <v>456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57000</v>
      </c>
      <c r="D23" s="181">
        <f>'PLAN PRIHODA I PRIMITAKA '!C41</f>
        <v>60000</v>
      </c>
      <c r="E23" s="181">
        <f>'PLAN PRIHODA I PRIMITAKA '!C77</f>
        <v>75000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457</v>
      </c>
      <c r="O23" s="163" t="s">
        <v>457</v>
      </c>
      <c r="P23" s="163" t="s">
        <v>458</v>
      </c>
      <c r="Q23" s="163" t="s">
        <v>459</v>
      </c>
      <c r="R23" s="164">
        <v>2752298</v>
      </c>
      <c r="S23" s="165" t="s">
        <v>460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-60000</v>
      </c>
      <c r="D24" s="185">
        <f>'PLAN PRIHODA I PRIMITAKA '!C43</f>
        <v>-75000</v>
      </c>
      <c r="E24" s="186">
        <f>'PLAN PRIHODA I PRIMITAKA '!C79</f>
        <v>-92000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461</v>
      </c>
      <c r="O24" s="163" t="s">
        <v>461</v>
      </c>
      <c r="P24" s="163" t="s">
        <v>462</v>
      </c>
      <c r="Q24" s="163" t="s">
        <v>463</v>
      </c>
      <c r="R24" s="164">
        <v>1787578</v>
      </c>
      <c r="S24" s="165" t="s">
        <v>464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58"/>
      <c r="C25" s="259"/>
      <c r="D25" s="259"/>
      <c r="E25" s="259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465</v>
      </c>
      <c r="O25" s="163" t="s">
        <v>465</v>
      </c>
      <c r="P25" s="163" t="s">
        <v>466</v>
      </c>
      <c r="Q25" s="163" t="s">
        <v>467</v>
      </c>
      <c r="R25" s="164">
        <v>1695525</v>
      </c>
      <c r="S25" s="165" t="s">
        <v>468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837</v>
      </c>
      <c r="D26" s="170" t="s">
        <v>838</v>
      </c>
      <c r="E26" s="170" t="s">
        <v>839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469</v>
      </c>
      <c r="O26" s="163" t="s">
        <v>469</v>
      </c>
      <c r="P26" s="163" t="s">
        <v>470</v>
      </c>
      <c r="Q26" s="163" t="s">
        <v>471</v>
      </c>
      <c r="R26" s="164">
        <v>3337413</v>
      </c>
      <c r="S26" s="165" t="s">
        <v>472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473</v>
      </c>
      <c r="O27" s="163" t="s">
        <v>469</v>
      </c>
      <c r="P27" s="163" t="s">
        <v>474</v>
      </c>
      <c r="Q27" s="163" t="s">
        <v>471</v>
      </c>
      <c r="R27" s="164">
        <v>1954253</v>
      </c>
      <c r="S27" s="165" t="s">
        <v>475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476</v>
      </c>
      <c r="O28" s="163" t="s">
        <v>469</v>
      </c>
      <c r="P28" s="163" t="s">
        <v>477</v>
      </c>
      <c r="Q28" s="163" t="s">
        <v>471</v>
      </c>
      <c r="R28" s="164">
        <v>3328627</v>
      </c>
      <c r="S28" s="165" t="s">
        <v>478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479</v>
      </c>
      <c r="O29" s="163" t="s">
        <v>469</v>
      </c>
      <c r="P29" s="163" t="s">
        <v>480</v>
      </c>
      <c r="Q29" s="163" t="s">
        <v>481</v>
      </c>
      <c r="R29" s="164">
        <v>3091732</v>
      </c>
      <c r="S29" s="165" t="s">
        <v>482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58"/>
      <c r="C30" s="259"/>
      <c r="D30" s="259"/>
      <c r="E30" s="259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483</v>
      </c>
      <c r="O30" s="163" t="s">
        <v>469</v>
      </c>
      <c r="P30" s="163" t="s">
        <v>484</v>
      </c>
      <c r="Q30" s="163" t="s">
        <v>471</v>
      </c>
      <c r="R30" s="164">
        <v>3368491</v>
      </c>
      <c r="S30" s="165" t="s">
        <v>485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0</v>
      </c>
      <c r="D31" s="190">
        <f>+D20+D23+D24+D29</f>
        <v>0</v>
      </c>
      <c r="E31" s="190">
        <f>+E20+E23+E24+E29</f>
        <v>0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486</v>
      </c>
      <c r="O31" s="163" t="s">
        <v>469</v>
      </c>
      <c r="P31" s="163" t="s">
        <v>487</v>
      </c>
      <c r="Q31" s="163" t="s">
        <v>471</v>
      </c>
      <c r="R31" s="164">
        <v>3395855</v>
      </c>
      <c r="S31" s="165" t="s">
        <v>488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489</v>
      </c>
      <c r="O32" s="163" t="s">
        <v>469</v>
      </c>
      <c r="P32" s="163" t="s">
        <v>490</v>
      </c>
      <c r="Q32" s="163" t="s">
        <v>471</v>
      </c>
      <c r="R32" s="164">
        <v>3328554</v>
      </c>
      <c r="S32" s="165" t="s">
        <v>491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.7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492</v>
      </c>
      <c r="O33" s="163" t="s">
        <v>469</v>
      </c>
      <c r="P33" s="163" t="s">
        <v>493</v>
      </c>
      <c r="Q33" s="163" t="s">
        <v>471</v>
      </c>
      <c r="R33" s="164">
        <v>1580485</v>
      </c>
      <c r="S33" s="165" t="s">
        <v>494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.7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495</v>
      </c>
      <c r="O34" s="163" t="s">
        <v>469</v>
      </c>
      <c r="P34" s="163" t="s">
        <v>496</v>
      </c>
      <c r="Q34" s="163" t="s">
        <v>471</v>
      </c>
      <c r="R34" s="164">
        <v>3328562</v>
      </c>
      <c r="S34" s="165" t="s">
        <v>497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.7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498</v>
      </c>
      <c r="O35" s="163" t="s">
        <v>469</v>
      </c>
      <c r="P35" s="163" t="s">
        <v>499</v>
      </c>
      <c r="Q35" s="163" t="s">
        <v>471</v>
      </c>
      <c r="R35" s="164">
        <v>3328686</v>
      </c>
      <c r="S35" s="165" t="s">
        <v>500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.7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501</v>
      </c>
      <c r="O36" s="163" t="s">
        <v>469</v>
      </c>
      <c r="P36" s="163" t="s">
        <v>502</v>
      </c>
      <c r="Q36" s="163" t="s">
        <v>471</v>
      </c>
      <c r="R36" s="164">
        <v>3334317</v>
      </c>
      <c r="S36" s="165" t="s">
        <v>503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.7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504</v>
      </c>
      <c r="O37" s="163" t="s">
        <v>469</v>
      </c>
      <c r="P37" s="163" t="s">
        <v>505</v>
      </c>
      <c r="Q37" s="163" t="s">
        <v>471</v>
      </c>
      <c r="R37" s="164">
        <v>2116073</v>
      </c>
      <c r="S37" s="165" t="s">
        <v>506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.7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507</v>
      </c>
      <c r="O38" s="163" t="s">
        <v>469</v>
      </c>
      <c r="P38" s="163" t="s">
        <v>508</v>
      </c>
      <c r="Q38" s="163" t="s">
        <v>471</v>
      </c>
      <c r="R38" s="194" t="s">
        <v>509</v>
      </c>
      <c r="S38" s="165" t="s">
        <v>510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.7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511</v>
      </c>
      <c r="O39" s="163" t="s">
        <v>511</v>
      </c>
      <c r="P39" s="163" t="s">
        <v>512</v>
      </c>
      <c r="Q39" s="163" t="s">
        <v>513</v>
      </c>
      <c r="R39" s="164">
        <v>3129306</v>
      </c>
      <c r="S39" s="165" t="s">
        <v>514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.7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515</v>
      </c>
      <c r="O40" s="163" t="s">
        <v>511</v>
      </c>
      <c r="P40" s="163" t="s">
        <v>516</v>
      </c>
      <c r="Q40" s="163" t="s">
        <v>513</v>
      </c>
      <c r="R40" s="164">
        <v>3119076</v>
      </c>
      <c r="S40" s="165" t="s">
        <v>517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.7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518</v>
      </c>
      <c r="O41" s="163" t="s">
        <v>511</v>
      </c>
      <c r="P41" s="163" t="s">
        <v>519</v>
      </c>
      <c r="Q41" s="163" t="s">
        <v>513</v>
      </c>
      <c r="R41" s="164">
        <v>3118339</v>
      </c>
      <c r="S41" s="165" t="s">
        <v>520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.7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521</v>
      </c>
      <c r="O42" s="163" t="s">
        <v>511</v>
      </c>
      <c r="P42" s="163" t="s">
        <v>522</v>
      </c>
      <c r="Q42" s="163" t="s">
        <v>513</v>
      </c>
      <c r="R42" s="164">
        <v>1413236</v>
      </c>
      <c r="S42" s="165" t="s">
        <v>523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.7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524</v>
      </c>
      <c r="O43" s="163" t="s">
        <v>511</v>
      </c>
      <c r="P43" s="163" t="s">
        <v>525</v>
      </c>
      <c r="Q43" s="163" t="s">
        <v>513</v>
      </c>
      <c r="R43" s="164">
        <v>3149463</v>
      </c>
      <c r="S43" s="165" t="s">
        <v>526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.7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527</v>
      </c>
      <c r="O44" s="163" t="s">
        <v>511</v>
      </c>
      <c r="P44" s="163" t="s">
        <v>528</v>
      </c>
      <c r="Q44" s="163" t="s">
        <v>513</v>
      </c>
      <c r="R44" s="164">
        <v>3119068</v>
      </c>
      <c r="S44" s="165" t="s">
        <v>529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.7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530</v>
      </c>
      <c r="O45" s="163" t="s">
        <v>511</v>
      </c>
      <c r="P45" s="163" t="s">
        <v>531</v>
      </c>
      <c r="Q45" s="163" t="s">
        <v>513</v>
      </c>
      <c r="R45" s="164">
        <v>2393255</v>
      </c>
      <c r="S45" s="165" t="s">
        <v>532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.7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533</v>
      </c>
      <c r="O46" s="163" t="s">
        <v>511</v>
      </c>
      <c r="P46" s="163" t="s">
        <v>534</v>
      </c>
      <c r="Q46" s="163" t="s">
        <v>513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.7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535</v>
      </c>
      <c r="O47" s="163" t="s">
        <v>511</v>
      </c>
      <c r="P47" s="163" t="s">
        <v>536</v>
      </c>
      <c r="Q47" s="163" t="s">
        <v>513</v>
      </c>
      <c r="R47" s="164">
        <v>1315366</v>
      </c>
      <c r="S47" s="165" t="s">
        <v>537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.7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538</v>
      </c>
      <c r="O48" s="163" t="s">
        <v>511</v>
      </c>
      <c r="P48" s="163" t="s">
        <v>539</v>
      </c>
      <c r="Q48" s="163" t="s">
        <v>513</v>
      </c>
      <c r="R48" s="164">
        <v>1406043</v>
      </c>
      <c r="S48" s="165" t="s">
        <v>540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.7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541</v>
      </c>
      <c r="O49" s="163" t="s">
        <v>511</v>
      </c>
      <c r="P49" s="163" t="s">
        <v>542</v>
      </c>
      <c r="Q49" s="163" t="s">
        <v>513</v>
      </c>
      <c r="R49" s="164">
        <v>3118347</v>
      </c>
      <c r="S49" s="165" t="s">
        <v>543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.7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544</v>
      </c>
      <c r="O50" s="163" t="s">
        <v>511</v>
      </c>
      <c r="P50" s="163" t="s">
        <v>545</v>
      </c>
      <c r="Q50" s="163" t="s">
        <v>513</v>
      </c>
      <c r="R50" s="164">
        <v>3199622</v>
      </c>
      <c r="S50" s="165" t="s">
        <v>546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.7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547</v>
      </c>
      <c r="O51" s="163" t="s">
        <v>511</v>
      </c>
      <c r="P51" s="163" t="s">
        <v>548</v>
      </c>
      <c r="Q51" s="163" t="s">
        <v>513</v>
      </c>
      <c r="R51" s="164">
        <v>3118436</v>
      </c>
      <c r="S51" s="165" t="s">
        <v>549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.7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550</v>
      </c>
      <c r="O52" s="163" t="s">
        <v>511</v>
      </c>
      <c r="P52" s="163" t="s">
        <v>551</v>
      </c>
      <c r="Q52" s="163" t="s">
        <v>513</v>
      </c>
      <c r="R52" s="164">
        <v>1321358</v>
      </c>
      <c r="S52" s="165" t="s">
        <v>552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.7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553</v>
      </c>
      <c r="O53" s="163" t="s">
        <v>511</v>
      </c>
      <c r="P53" s="163" t="s">
        <v>554</v>
      </c>
      <c r="Q53" s="163" t="s">
        <v>404</v>
      </c>
      <c r="R53" s="164">
        <v>3211592</v>
      </c>
      <c r="S53" s="165" t="s">
        <v>555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.7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556</v>
      </c>
      <c r="O54" s="163" t="s">
        <v>511</v>
      </c>
      <c r="P54" s="163" t="s">
        <v>557</v>
      </c>
      <c r="Q54" s="163" t="s">
        <v>404</v>
      </c>
      <c r="R54" s="164">
        <v>3283097</v>
      </c>
      <c r="S54" s="165" t="s">
        <v>558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.7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559</v>
      </c>
      <c r="O55" s="163" t="s">
        <v>511</v>
      </c>
      <c r="P55" s="163" t="s">
        <v>560</v>
      </c>
      <c r="Q55" s="163" t="s">
        <v>404</v>
      </c>
      <c r="R55" s="164">
        <v>3205029</v>
      </c>
      <c r="S55" s="165" t="s">
        <v>561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.7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562</v>
      </c>
      <c r="O56" s="163" t="s">
        <v>511</v>
      </c>
      <c r="P56" s="163" t="s">
        <v>563</v>
      </c>
      <c r="Q56" s="163" t="s">
        <v>404</v>
      </c>
      <c r="R56" s="164">
        <v>3207919</v>
      </c>
      <c r="S56" s="165" t="s">
        <v>564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.7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565</v>
      </c>
      <c r="O57" s="163" t="s">
        <v>511</v>
      </c>
      <c r="P57" s="163" t="s">
        <v>566</v>
      </c>
      <c r="Q57" s="163" t="s">
        <v>404</v>
      </c>
      <c r="R57" s="164">
        <v>3204952</v>
      </c>
      <c r="S57" s="165" t="s">
        <v>567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.7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568</v>
      </c>
      <c r="O58" s="163" t="s">
        <v>511</v>
      </c>
      <c r="P58" s="163" t="s">
        <v>569</v>
      </c>
      <c r="Q58" s="163" t="s">
        <v>404</v>
      </c>
      <c r="R58" s="164">
        <v>3219780</v>
      </c>
      <c r="S58" s="165" t="s">
        <v>570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.7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571</v>
      </c>
      <c r="O59" s="163" t="s">
        <v>511</v>
      </c>
      <c r="P59" s="163" t="s">
        <v>572</v>
      </c>
      <c r="Q59" s="163" t="s">
        <v>404</v>
      </c>
      <c r="R59" s="164">
        <v>3272079</v>
      </c>
      <c r="S59" s="165" t="s">
        <v>573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.7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574</v>
      </c>
      <c r="O60" s="163" t="s">
        <v>511</v>
      </c>
      <c r="P60" s="163" t="s">
        <v>575</v>
      </c>
      <c r="Q60" s="163" t="s">
        <v>404</v>
      </c>
      <c r="R60" s="164">
        <v>3276643</v>
      </c>
      <c r="S60" s="165" t="s">
        <v>576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.7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577</v>
      </c>
      <c r="O61" s="163" t="s">
        <v>511</v>
      </c>
      <c r="P61" s="163" t="s">
        <v>578</v>
      </c>
      <c r="Q61" s="163" t="s">
        <v>404</v>
      </c>
      <c r="R61" s="164">
        <v>1235664</v>
      </c>
      <c r="S61" s="165" t="s">
        <v>579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.7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580</v>
      </c>
      <c r="O62" s="163" t="s">
        <v>511</v>
      </c>
      <c r="P62" s="163" t="s">
        <v>581</v>
      </c>
      <c r="Q62" s="163" t="s">
        <v>404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.7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582</v>
      </c>
      <c r="O63" s="163" t="s">
        <v>511</v>
      </c>
      <c r="P63" s="163" t="s">
        <v>583</v>
      </c>
      <c r="Q63" s="163" t="s">
        <v>404</v>
      </c>
      <c r="R63" s="164">
        <v>3250270</v>
      </c>
      <c r="S63" s="165" t="s">
        <v>584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.7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585</v>
      </c>
      <c r="O64" s="163" t="s">
        <v>511</v>
      </c>
      <c r="P64" s="163" t="s">
        <v>586</v>
      </c>
      <c r="Q64" s="163" t="s">
        <v>404</v>
      </c>
      <c r="R64" s="164">
        <v>3270262</v>
      </c>
      <c r="S64" s="165" t="s">
        <v>587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.7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588</v>
      </c>
      <c r="O65" s="163" t="s">
        <v>511</v>
      </c>
      <c r="P65" s="163" t="s">
        <v>589</v>
      </c>
      <c r="Q65" s="163" t="s">
        <v>404</v>
      </c>
      <c r="R65" s="164">
        <v>3260771</v>
      </c>
      <c r="S65" s="165" t="s">
        <v>590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.7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591</v>
      </c>
      <c r="O66" s="163" t="s">
        <v>511</v>
      </c>
      <c r="P66" s="163" t="s">
        <v>592</v>
      </c>
      <c r="Q66" s="163" t="s">
        <v>404</v>
      </c>
      <c r="R66" s="164">
        <v>3276546</v>
      </c>
      <c r="S66" s="165" t="s">
        <v>593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.7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594</v>
      </c>
      <c r="O67" s="163" t="s">
        <v>511</v>
      </c>
      <c r="P67" s="163" t="s">
        <v>595</v>
      </c>
      <c r="Q67" s="163" t="s">
        <v>404</v>
      </c>
      <c r="R67" s="164">
        <v>3205037</v>
      </c>
      <c r="S67" s="165" t="s">
        <v>596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.7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597</v>
      </c>
      <c r="O68" s="163" t="s">
        <v>511</v>
      </c>
      <c r="P68" s="163" t="s">
        <v>598</v>
      </c>
      <c r="Q68" s="163" t="s">
        <v>404</v>
      </c>
      <c r="R68" s="164">
        <v>3254852</v>
      </c>
      <c r="S68" s="165" t="s">
        <v>599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.7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600</v>
      </c>
      <c r="O69" s="163" t="s">
        <v>511</v>
      </c>
      <c r="P69" s="163" t="s">
        <v>601</v>
      </c>
      <c r="Q69" s="163" t="s">
        <v>404</v>
      </c>
      <c r="R69" s="164">
        <v>3204987</v>
      </c>
      <c r="S69" s="165" t="s">
        <v>602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.7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603</v>
      </c>
      <c r="O70" s="163" t="s">
        <v>511</v>
      </c>
      <c r="P70" s="163" t="s">
        <v>604</v>
      </c>
      <c r="Q70" s="163" t="s">
        <v>605</v>
      </c>
      <c r="R70" s="164">
        <v>3042316</v>
      </c>
      <c r="S70" s="165" t="s">
        <v>606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.7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607</v>
      </c>
      <c r="O71" s="163" t="s">
        <v>511</v>
      </c>
      <c r="P71" s="163" t="s">
        <v>608</v>
      </c>
      <c r="Q71" s="163" t="s">
        <v>404</v>
      </c>
      <c r="R71" s="164">
        <v>3227120</v>
      </c>
      <c r="S71" s="165" t="s">
        <v>609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.7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610</v>
      </c>
      <c r="O72" s="163" t="s">
        <v>511</v>
      </c>
      <c r="P72" s="163" t="s">
        <v>611</v>
      </c>
      <c r="Q72" s="163" t="s">
        <v>404</v>
      </c>
      <c r="R72" s="164">
        <v>3219763</v>
      </c>
      <c r="S72" s="165" t="s">
        <v>612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.7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613</v>
      </c>
      <c r="O73" s="163" t="s">
        <v>511</v>
      </c>
      <c r="P73" s="163" t="s">
        <v>614</v>
      </c>
      <c r="Q73" s="163" t="s">
        <v>404</v>
      </c>
      <c r="R73" s="164">
        <v>3274080</v>
      </c>
      <c r="S73" s="165" t="s">
        <v>615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.7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616</v>
      </c>
      <c r="O74" s="163" t="s">
        <v>511</v>
      </c>
      <c r="P74" s="163" t="s">
        <v>617</v>
      </c>
      <c r="Q74" s="163" t="s">
        <v>404</v>
      </c>
      <c r="R74" s="164">
        <v>3270211</v>
      </c>
      <c r="S74" s="165" t="s">
        <v>618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.7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619</v>
      </c>
      <c r="O75" s="163" t="s">
        <v>511</v>
      </c>
      <c r="P75" s="163" t="s">
        <v>620</v>
      </c>
      <c r="Q75" s="163" t="s">
        <v>621</v>
      </c>
      <c r="R75" s="164">
        <v>3313786</v>
      </c>
      <c r="S75" s="165" t="s">
        <v>622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.7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623</v>
      </c>
      <c r="O76" s="163" t="s">
        <v>511</v>
      </c>
      <c r="P76" s="163" t="s">
        <v>624</v>
      </c>
      <c r="Q76" s="163" t="s">
        <v>404</v>
      </c>
      <c r="R76" s="164">
        <v>3205002</v>
      </c>
      <c r="S76" s="165" t="s">
        <v>625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.7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626</v>
      </c>
      <c r="O77" s="163" t="s">
        <v>511</v>
      </c>
      <c r="P77" s="163" t="s">
        <v>627</v>
      </c>
      <c r="Q77" s="163" t="s">
        <v>404</v>
      </c>
      <c r="R77" s="164">
        <v>3225909</v>
      </c>
      <c r="S77" s="165" t="s">
        <v>628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.7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629</v>
      </c>
      <c r="O78" s="163" t="s">
        <v>511</v>
      </c>
      <c r="P78" s="163" t="s">
        <v>630</v>
      </c>
      <c r="Q78" s="163" t="s">
        <v>404</v>
      </c>
      <c r="R78" s="164">
        <v>3207102</v>
      </c>
      <c r="S78" s="165" t="s">
        <v>631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.7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632</v>
      </c>
      <c r="O79" s="163" t="s">
        <v>511</v>
      </c>
      <c r="P79" s="163" t="s">
        <v>633</v>
      </c>
      <c r="Q79" s="163" t="s">
        <v>404</v>
      </c>
      <c r="R79" s="164">
        <v>3270149</v>
      </c>
      <c r="S79" s="165" t="s">
        <v>634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.7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635</v>
      </c>
      <c r="O80" s="163" t="s">
        <v>511</v>
      </c>
      <c r="P80" s="163" t="s">
        <v>636</v>
      </c>
      <c r="Q80" s="163" t="s">
        <v>404</v>
      </c>
      <c r="R80" s="164">
        <v>3207005</v>
      </c>
      <c r="S80" s="165" t="s">
        <v>637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.7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638</v>
      </c>
      <c r="O81" s="163" t="s">
        <v>511</v>
      </c>
      <c r="P81" s="163" t="s">
        <v>639</v>
      </c>
      <c r="Q81" s="163" t="s">
        <v>404</v>
      </c>
      <c r="R81" s="164">
        <v>3204995</v>
      </c>
      <c r="S81" s="165" t="s">
        <v>640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.7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641</v>
      </c>
      <c r="O82" s="163" t="s">
        <v>511</v>
      </c>
      <c r="P82" s="163" t="s">
        <v>642</v>
      </c>
      <c r="Q82" s="163" t="s">
        <v>404</v>
      </c>
      <c r="R82" s="164">
        <v>3281485</v>
      </c>
      <c r="S82" s="165" t="s">
        <v>643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.7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644</v>
      </c>
      <c r="O83" s="163" t="s">
        <v>511</v>
      </c>
      <c r="P83" s="163" t="s">
        <v>645</v>
      </c>
      <c r="Q83" s="163" t="s">
        <v>404</v>
      </c>
      <c r="R83" s="164">
        <v>3207064</v>
      </c>
      <c r="S83" s="165" t="s">
        <v>646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.7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647</v>
      </c>
      <c r="O84" s="163" t="s">
        <v>511</v>
      </c>
      <c r="P84" s="163" t="s">
        <v>648</v>
      </c>
      <c r="Q84" s="163" t="s">
        <v>404</v>
      </c>
      <c r="R84" s="164">
        <v>1422545</v>
      </c>
      <c r="S84" s="165" t="s">
        <v>649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.7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650</v>
      </c>
      <c r="O85" s="163" t="s">
        <v>511</v>
      </c>
      <c r="P85" s="163" t="s">
        <v>651</v>
      </c>
      <c r="Q85" s="163" t="s">
        <v>404</v>
      </c>
      <c r="R85" s="164">
        <v>3225755</v>
      </c>
      <c r="S85" s="165" t="s">
        <v>652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.7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653</v>
      </c>
      <c r="O86" s="163" t="s">
        <v>511</v>
      </c>
      <c r="P86" s="163" t="s">
        <v>654</v>
      </c>
      <c r="Q86" s="163" t="s">
        <v>605</v>
      </c>
      <c r="R86" s="164">
        <v>3006107</v>
      </c>
      <c r="S86" s="165" t="s">
        <v>655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.7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656</v>
      </c>
      <c r="O87" s="163" t="s">
        <v>657</v>
      </c>
      <c r="P87" s="163" t="s">
        <v>658</v>
      </c>
      <c r="Q87" s="163" t="s">
        <v>659</v>
      </c>
      <c r="R87" s="164">
        <v>2382512</v>
      </c>
      <c r="S87" s="165" t="s">
        <v>660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.7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661</v>
      </c>
      <c r="O88" s="163" t="s">
        <v>657</v>
      </c>
      <c r="P88" s="163" t="s">
        <v>662</v>
      </c>
      <c r="Q88" s="163" t="s">
        <v>404</v>
      </c>
      <c r="R88" s="164">
        <v>1398270</v>
      </c>
      <c r="S88" s="165" t="s">
        <v>663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.7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664</v>
      </c>
      <c r="O89" s="163" t="s">
        <v>657</v>
      </c>
      <c r="P89" s="163" t="s">
        <v>665</v>
      </c>
      <c r="Q89" s="163" t="s">
        <v>666</v>
      </c>
      <c r="R89" s="164">
        <v>1970828</v>
      </c>
      <c r="S89" s="165" t="s">
        <v>667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.7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668</v>
      </c>
      <c r="O90" s="163" t="s">
        <v>657</v>
      </c>
      <c r="P90" s="196" t="s">
        <v>669</v>
      </c>
      <c r="Q90" s="196" t="s">
        <v>670</v>
      </c>
      <c r="R90" s="164">
        <v>1963813</v>
      </c>
      <c r="S90" s="165" t="s">
        <v>671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.7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672</v>
      </c>
      <c r="O91" s="163" t="s">
        <v>657</v>
      </c>
      <c r="P91" s="163" t="s">
        <v>673</v>
      </c>
      <c r="Q91" s="163" t="s">
        <v>674</v>
      </c>
      <c r="R91" s="164">
        <v>2103133</v>
      </c>
      <c r="S91" s="165" t="s">
        <v>675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.7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676</v>
      </c>
      <c r="O92" s="163" t="s">
        <v>657</v>
      </c>
      <c r="P92" s="163" t="s">
        <v>677</v>
      </c>
      <c r="Q92" s="163" t="s">
        <v>678</v>
      </c>
      <c r="R92" s="164">
        <v>1286030</v>
      </c>
      <c r="S92" s="165" t="s">
        <v>679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.7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680</v>
      </c>
      <c r="O93" s="163" t="s">
        <v>657</v>
      </c>
      <c r="P93" s="163" t="s">
        <v>681</v>
      </c>
      <c r="Q93" s="163" t="s">
        <v>682</v>
      </c>
      <c r="R93" s="164">
        <v>1395521</v>
      </c>
      <c r="S93" s="165" t="s">
        <v>683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.7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684</v>
      </c>
      <c r="O94" s="163" t="s">
        <v>657</v>
      </c>
      <c r="P94" s="163" t="s">
        <v>685</v>
      </c>
      <c r="Q94" s="163" t="s">
        <v>471</v>
      </c>
      <c r="R94" s="164">
        <v>1387332</v>
      </c>
      <c r="S94" s="165" t="s">
        <v>686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.7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687</v>
      </c>
      <c r="O95" s="163" t="s">
        <v>657</v>
      </c>
      <c r="P95" s="163" t="s">
        <v>688</v>
      </c>
      <c r="Q95" s="163" t="s">
        <v>439</v>
      </c>
      <c r="R95" s="164">
        <v>2152622</v>
      </c>
      <c r="S95" s="165" t="s">
        <v>689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.7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690</v>
      </c>
      <c r="O96" s="163" t="s">
        <v>657</v>
      </c>
      <c r="P96" s="163" t="s">
        <v>691</v>
      </c>
      <c r="Q96" s="163" t="s">
        <v>692</v>
      </c>
      <c r="R96" s="164">
        <v>2100673</v>
      </c>
      <c r="S96" s="165" t="s">
        <v>693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.7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848</v>
      </c>
      <c r="L97" s="161" t="str">
        <f>M97&amp;" "&amp;N97</f>
        <v xml:space="preserve"> VELEUČILIŠTE HRVATSKO ZAGORJE</v>
      </c>
      <c r="N97" s="155" t="s">
        <v>849</v>
      </c>
      <c r="O97" s="163" t="s">
        <v>657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.7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694</v>
      </c>
      <c r="O98" s="163" t="s">
        <v>657</v>
      </c>
      <c r="P98" s="163" t="s">
        <v>695</v>
      </c>
      <c r="Q98" s="163" t="s">
        <v>696</v>
      </c>
      <c r="R98" s="164">
        <v>2282208</v>
      </c>
      <c r="S98" s="165" t="s">
        <v>697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.7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698</v>
      </c>
      <c r="O99" s="163" t="s">
        <v>657</v>
      </c>
      <c r="P99" s="163" t="s">
        <v>699</v>
      </c>
      <c r="Q99" s="163" t="s">
        <v>700</v>
      </c>
      <c r="R99" s="164">
        <v>1411942</v>
      </c>
      <c r="S99" s="165" t="s">
        <v>701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.7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702</v>
      </c>
      <c r="O100" s="163" t="s">
        <v>657</v>
      </c>
      <c r="P100" s="163" t="s">
        <v>703</v>
      </c>
      <c r="Q100" s="163" t="s">
        <v>404</v>
      </c>
      <c r="R100" s="164">
        <v>1274597</v>
      </c>
      <c r="S100" s="165" t="s">
        <v>704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.7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706</v>
      </c>
      <c r="O101" s="163" t="s">
        <v>657</v>
      </c>
      <c r="P101" s="163" t="s">
        <v>707</v>
      </c>
      <c r="Q101" s="163" t="s">
        <v>404</v>
      </c>
      <c r="R101" s="164">
        <v>3219925</v>
      </c>
      <c r="S101" s="165" t="s">
        <v>708</v>
      </c>
      <c r="T101" s="165" t="s">
        <v>835</v>
      </c>
      <c r="U101" s="166" t="s">
        <v>705</v>
      </c>
      <c r="V101" s="156"/>
      <c r="W101" s="156"/>
      <c r="X101" s="156"/>
      <c r="Y101" s="156"/>
      <c r="Z101" s="156"/>
      <c r="AA101" s="156"/>
      <c r="AB101" s="156"/>
    </row>
    <row r="102" spans="1:28" ht="15.7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709</v>
      </c>
      <c r="O102" s="163" t="s">
        <v>657</v>
      </c>
      <c r="P102" s="163" t="s">
        <v>710</v>
      </c>
      <c r="Q102" s="163" t="s">
        <v>404</v>
      </c>
      <c r="R102" s="164">
        <v>3207153</v>
      </c>
      <c r="S102" s="165" t="s">
        <v>711</v>
      </c>
      <c r="T102" s="165" t="s">
        <v>835</v>
      </c>
      <c r="U102" s="166" t="s">
        <v>705</v>
      </c>
      <c r="V102" s="156"/>
      <c r="W102" s="156"/>
      <c r="X102" s="156"/>
      <c r="Y102" s="156"/>
      <c r="Z102" s="156"/>
      <c r="AA102" s="156"/>
      <c r="AB102" s="156"/>
    </row>
    <row r="103" spans="1:28" ht="15.7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712</v>
      </c>
      <c r="O103" s="163" t="s">
        <v>657</v>
      </c>
      <c r="P103" s="163" t="s">
        <v>713</v>
      </c>
      <c r="Q103" s="163" t="s">
        <v>404</v>
      </c>
      <c r="R103" s="164">
        <v>3274098</v>
      </c>
      <c r="S103" s="165" t="s">
        <v>714</v>
      </c>
      <c r="T103" s="165" t="s">
        <v>835</v>
      </c>
      <c r="U103" s="166" t="s">
        <v>705</v>
      </c>
      <c r="V103" s="156"/>
      <c r="W103" s="156"/>
      <c r="X103" s="156"/>
      <c r="Y103" s="156"/>
      <c r="Z103" s="156"/>
      <c r="AA103" s="156"/>
      <c r="AB103" s="156"/>
    </row>
    <row r="104" spans="1:28" ht="15.7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715</v>
      </c>
      <c r="O104" s="163" t="s">
        <v>657</v>
      </c>
      <c r="P104" s="163" t="s">
        <v>716</v>
      </c>
      <c r="Q104" s="163" t="s">
        <v>404</v>
      </c>
      <c r="R104" s="164">
        <v>3793028</v>
      </c>
      <c r="S104" s="165" t="s">
        <v>717</v>
      </c>
      <c r="T104" s="165" t="s">
        <v>835</v>
      </c>
      <c r="U104" s="166" t="s">
        <v>705</v>
      </c>
      <c r="V104" s="156"/>
      <c r="W104" s="156"/>
      <c r="X104" s="156"/>
      <c r="Y104" s="156"/>
      <c r="Z104" s="156"/>
      <c r="AA104" s="156"/>
      <c r="AB104" s="156"/>
    </row>
    <row r="105" spans="1:28" ht="15.7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718</v>
      </c>
      <c r="O105" s="163" t="s">
        <v>657</v>
      </c>
      <c r="P105" s="163" t="s">
        <v>719</v>
      </c>
      <c r="Q105" s="163" t="s">
        <v>404</v>
      </c>
      <c r="R105" s="164">
        <v>3270289</v>
      </c>
      <c r="S105" s="165" t="s">
        <v>720</v>
      </c>
      <c r="T105" s="165" t="s">
        <v>835</v>
      </c>
      <c r="U105" s="166" t="s">
        <v>705</v>
      </c>
      <c r="V105" s="156"/>
      <c r="W105" s="156"/>
      <c r="X105" s="156"/>
      <c r="Y105" s="156"/>
      <c r="Z105" s="156"/>
      <c r="AA105" s="156"/>
      <c r="AB105" s="156"/>
    </row>
    <row r="106" spans="1:28" ht="15.7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721</v>
      </c>
      <c r="O106" s="163" t="s">
        <v>657</v>
      </c>
      <c r="P106" s="163" t="s">
        <v>722</v>
      </c>
      <c r="Q106" s="163" t="s">
        <v>404</v>
      </c>
      <c r="R106" s="164">
        <v>3817121</v>
      </c>
      <c r="S106" s="165" t="s">
        <v>723</v>
      </c>
      <c r="T106" s="165" t="s">
        <v>835</v>
      </c>
      <c r="U106" s="166" t="s">
        <v>705</v>
      </c>
      <c r="V106" s="156"/>
      <c r="W106" s="156"/>
      <c r="X106" s="156"/>
      <c r="Y106" s="156"/>
      <c r="Z106" s="156"/>
      <c r="AA106" s="156"/>
      <c r="AB106" s="156"/>
    </row>
    <row r="107" spans="1:28" ht="15.7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724</v>
      </c>
      <c r="O107" s="163" t="s">
        <v>657</v>
      </c>
      <c r="P107" s="163" t="s">
        <v>722</v>
      </c>
      <c r="Q107" s="163" t="s">
        <v>404</v>
      </c>
      <c r="R107" s="164">
        <v>3937658</v>
      </c>
      <c r="S107" s="165" t="s">
        <v>725</v>
      </c>
      <c r="T107" s="165" t="s">
        <v>835</v>
      </c>
      <c r="U107" s="166" t="s">
        <v>705</v>
      </c>
      <c r="V107" s="156"/>
      <c r="W107" s="156"/>
      <c r="X107" s="156"/>
      <c r="Y107" s="156"/>
      <c r="Z107" s="156"/>
      <c r="AA107" s="156"/>
      <c r="AB107" s="156"/>
    </row>
    <row r="108" spans="1:28" ht="15.7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726</v>
      </c>
      <c r="O108" s="163" t="s">
        <v>657</v>
      </c>
      <c r="P108" s="163" t="s">
        <v>727</v>
      </c>
      <c r="Q108" s="163" t="s">
        <v>404</v>
      </c>
      <c r="R108" s="164">
        <v>3205118</v>
      </c>
      <c r="S108" s="165" t="s">
        <v>728</v>
      </c>
      <c r="T108" s="165" t="s">
        <v>835</v>
      </c>
      <c r="U108" s="166" t="s">
        <v>705</v>
      </c>
      <c r="V108" s="156"/>
      <c r="W108" s="156"/>
      <c r="X108" s="156"/>
      <c r="Y108" s="156"/>
      <c r="Z108" s="156"/>
      <c r="AA108" s="156"/>
      <c r="AB108" s="156"/>
    </row>
    <row r="109" spans="1:28" ht="15.7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729</v>
      </c>
      <c r="O109" s="163" t="s">
        <v>657</v>
      </c>
      <c r="P109" s="163" t="s">
        <v>730</v>
      </c>
      <c r="Q109" s="163" t="s">
        <v>404</v>
      </c>
      <c r="R109" s="164">
        <v>3724042</v>
      </c>
      <c r="S109" s="165" t="s">
        <v>731</v>
      </c>
      <c r="T109" s="165" t="s">
        <v>835</v>
      </c>
      <c r="U109" s="166" t="s">
        <v>705</v>
      </c>
      <c r="V109" s="156"/>
      <c r="W109" s="156"/>
      <c r="X109" s="156"/>
      <c r="Y109" s="156"/>
      <c r="Z109" s="156"/>
      <c r="AA109" s="156"/>
      <c r="AB109" s="156"/>
    </row>
    <row r="110" spans="1:28" ht="15.7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732</v>
      </c>
      <c r="O110" s="163" t="s">
        <v>657</v>
      </c>
      <c r="P110" s="163" t="s">
        <v>733</v>
      </c>
      <c r="Q110" s="163" t="s">
        <v>404</v>
      </c>
      <c r="R110" s="164">
        <v>3772047</v>
      </c>
      <c r="S110" s="165" t="s">
        <v>734</v>
      </c>
      <c r="T110" s="165" t="s">
        <v>835</v>
      </c>
      <c r="U110" s="166" t="s">
        <v>705</v>
      </c>
      <c r="V110" s="156"/>
      <c r="W110" s="156"/>
      <c r="X110" s="156"/>
      <c r="Y110" s="156"/>
      <c r="Z110" s="156"/>
      <c r="AA110" s="156"/>
      <c r="AB110" s="156"/>
    </row>
    <row r="111" spans="1:28" ht="15.7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735</v>
      </c>
      <c r="O111" s="163" t="s">
        <v>657</v>
      </c>
      <c r="P111" s="163" t="s">
        <v>719</v>
      </c>
      <c r="Q111" s="163" t="s">
        <v>404</v>
      </c>
      <c r="R111" s="164">
        <v>3270424</v>
      </c>
      <c r="S111" s="165" t="s">
        <v>736</v>
      </c>
      <c r="T111" s="165" t="s">
        <v>835</v>
      </c>
      <c r="U111" s="166" t="s">
        <v>705</v>
      </c>
      <c r="V111" s="156"/>
      <c r="W111" s="156"/>
      <c r="X111" s="156"/>
      <c r="Y111" s="156"/>
      <c r="Z111" s="156"/>
      <c r="AA111" s="156"/>
      <c r="AB111" s="156"/>
    </row>
    <row r="112" spans="1:28" ht="15.7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737</v>
      </c>
      <c r="O112" s="163" t="s">
        <v>657</v>
      </c>
      <c r="P112" s="163" t="s">
        <v>738</v>
      </c>
      <c r="Q112" s="163" t="s">
        <v>404</v>
      </c>
      <c r="R112" s="164">
        <v>3219518</v>
      </c>
      <c r="S112" s="165" t="s">
        <v>739</v>
      </c>
      <c r="T112" s="165" t="s">
        <v>835</v>
      </c>
      <c r="U112" s="166" t="s">
        <v>705</v>
      </c>
      <c r="V112" s="156"/>
      <c r="W112" s="156"/>
      <c r="X112" s="156"/>
      <c r="Y112" s="156"/>
      <c r="Z112" s="156"/>
      <c r="AA112" s="156"/>
      <c r="AB112" s="156"/>
    </row>
    <row r="113" spans="1:28" ht="15.7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740</v>
      </c>
      <c r="O113" s="163" t="s">
        <v>657</v>
      </c>
      <c r="P113" s="163" t="s">
        <v>741</v>
      </c>
      <c r="Q113" s="163" t="s">
        <v>404</v>
      </c>
      <c r="R113" s="164">
        <v>1259571</v>
      </c>
      <c r="S113" s="165" t="s">
        <v>742</v>
      </c>
      <c r="T113" s="165" t="s">
        <v>835</v>
      </c>
      <c r="U113" s="166" t="s">
        <v>705</v>
      </c>
      <c r="V113" s="156"/>
      <c r="W113" s="156"/>
      <c r="X113" s="156"/>
      <c r="Y113" s="156"/>
      <c r="Z113" s="156"/>
      <c r="AA113" s="156"/>
      <c r="AB113" s="156"/>
    </row>
    <row r="114" spans="1:28" ht="15.7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743</v>
      </c>
      <c r="O114" s="163" t="s">
        <v>657</v>
      </c>
      <c r="P114" s="163" t="s">
        <v>744</v>
      </c>
      <c r="Q114" s="163" t="s">
        <v>513</v>
      </c>
      <c r="R114" s="164">
        <v>3140792</v>
      </c>
      <c r="S114" s="165" t="s">
        <v>745</v>
      </c>
      <c r="T114" s="165" t="s">
        <v>835</v>
      </c>
      <c r="U114" s="166" t="s">
        <v>705</v>
      </c>
      <c r="V114" s="156"/>
      <c r="W114" s="156"/>
      <c r="X114" s="156"/>
      <c r="Y114" s="156"/>
      <c r="Z114" s="156"/>
      <c r="AA114" s="156"/>
      <c r="AB114" s="156"/>
    </row>
    <row r="115" spans="1:28" ht="15.7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746</v>
      </c>
      <c r="O115" s="163" t="s">
        <v>657</v>
      </c>
      <c r="P115" s="163" t="s">
        <v>747</v>
      </c>
      <c r="Q115" s="163" t="s">
        <v>404</v>
      </c>
      <c r="R115" s="164">
        <v>3226344</v>
      </c>
      <c r="S115" s="165" t="s">
        <v>748</v>
      </c>
      <c r="T115" s="165" t="s">
        <v>835</v>
      </c>
      <c r="U115" s="166" t="s">
        <v>705</v>
      </c>
      <c r="V115" s="156"/>
      <c r="W115" s="156"/>
      <c r="X115" s="156"/>
      <c r="Y115" s="156"/>
      <c r="Z115" s="156"/>
      <c r="AA115" s="156"/>
      <c r="AB115" s="156"/>
    </row>
    <row r="116" spans="1:28" ht="15.7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749</v>
      </c>
      <c r="O116" s="163" t="s">
        <v>657</v>
      </c>
      <c r="P116" s="163" t="s">
        <v>750</v>
      </c>
      <c r="Q116" s="163" t="s">
        <v>404</v>
      </c>
      <c r="R116" s="164">
        <v>3270475</v>
      </c>
      <c r="S116" s="165" t="s">
        <v>751</v>
      </c>
      <c r="T116" s="165" t="s">
        <v>835</v>
      </c>
      <c r="U116" s="166" t="s">
        <v>705</v>
      </c>
      <c r="V116" s="156"/>
      <c r="W116" s="156"/>
      <c r="X116" s="156"/>
      <c r="Y116" s="156"/>
      <c r="Z116" s="156"/>
      <c r="AA116" s="156"/>
      <c r="AB116" s="156"/>
    </row>
    <row r="117" spans="1:28" ht="15.7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752</v>
      </c>
      <c r="O117" s="163" t="s">
        <v>657</v>
      </c>
      <c r="P117" s="163" t="s">
        <v>753</v>
      </c>
      <c r="Q117" s="163" t="s">
        <v>404</v>
      </c>
      <c r="R117" s="164">
        <v>3205177</v>
      </c>
      <c r="S117" s="165" t="s">
        <v>754</v>
      </c>
      <c r="T117" s="165" t="s">
        <v>835</v>
      </c>
      <c r="U117" s="166" t="s">
        <v>705</v>
      </c>
      <c r="V117" s="156"/>
      <c r="W117" s="156"/>
      <c r="X117" s="156"/>
      <c r="Y117" s="156"/>
      <c r="Z117" s="156"/>
      <c r="AA117" s="156"/>
      <c r="AB117" s="156"/>
    </row>
    <row r="118" spans="1:28" ht="15.7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755</v>
      </c>
      <c r="O118" s="163" t="s">
        <v>657</v>
      </c>
      <c r="P118" s="163" t="s">
        <v>756</v>
      </c>
      <c r="Q118" s="163" t="s">
        <v>404</v>
      </c>
      <c r="R118" s="164">
        <v>3287572</v>
      </c>
      <c r="S118" s="165" t="s">
        <v>757</v>
      </c>
      <c r="T118" s="165" t="s">
        <v>835</v>
      </c>
      <c r="U118" s="166" t="s">
        <v>705</v>
      </c>
      <c r="V118" s="156"/>
      <c r="W118" s="156"/>
      <c r="X118" s="156"/>
      <c r="Y118" s="156"/>
      <c r="Z118" s="156"/>
      <c r="AA118" s="156"/>
      <c r="AB118" s="156"/>
    </row>
    <row r="119" spans="1:28" ht="15.7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758</v>
      </c>
      <c r="O119" s="163" t="s">
        <v>657</v>
      </c>
      <c r="P119" s="163" t="s">
        <v>759</v>
      </c>
      <c r="Q119" s="163" t="s">
        <v>513</v>
      </c>
      <c r="R119" s="164">
        <v>3118355</v>
      </c>
      <c r="S119" s="165" t="s">
        <v>760</v>
      </c>
      <c r="T119" s="165" t="s">
        <v>835</v>
      </c>
      <c r="U119" s="166" t="s">
        <v>705</v>
      </c>
      <c r="V119" s="156"/>
      <c r="W119" s="156"/>
      <c r="X119" s="156"/>
      <c r="Y119" s="156"/>
      <c r="Z119" s="156"/>
      <c r="AA119" s="156"/>
      <c r="AB119" s="156"/>
    </row>
    <row r="120" spans="1:28" ht="15.7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761</v>
      </c>
      <c r="O120" s="163" t="s">
        <v>657</v>
      </c>
      <c r="P120" s="163" t="s">
        <v>762</v>
      </c>
      <c r="Q120" s="163" t="s">
        <v>763</v>
      </c>
      <c r="R120" s="164">
        <v>3421031</v>
      </c>
      <c r="S120" s="165" t="s">
        <v>764</v>
      </c>
      <c r="T120" s="165" t="s">
        <v>835</v>
      </c>
      <c r="U120" s="166" t="s">
        <v>705</v>
      </c>
      <c r="V120" s="156"/>
      <c r="W120" s="156"/>
      <c r="X120" s="156"/>
      <c r="Y120" s="156"/>
      <c r="Z120" s="156"/>
      <c r="AA120" s="156"/>
      <c r="AB120" s="156"/>
    </row>
    <row r="121" spans="1:28" ht="15.7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765</v>
      </c>
      <c r="O121" s="163" t="s">
        <v>657</v>
      </c>
      <c r="P121" s="163" t="s">
        <v>766</v>
      </c>
      <c r="Q121" s="163" t="s">
        <v>404</v>
      </c>
      <c r="R121" s="164">
        <v>1339958</v>
      </c>
      <c r="S121" s="165" t="s">
        <v>767</v>
      </c>
      <c r="T121" s="165" t="s">
        <v>835</v>
      </c>
      <c r="U121" s="166" t="s">
        <v>705</v>
      </c>
      <c r="V121" s="156"/>
      <c r="W121" s="156"/>
      <c r="X121" s="156"/>
      <c r="Y121" s="156"/>
      <c r="Z121" s="156"/>
      <c r="AA121" s="156"/>
      <c r="AB121" s="156"/>
    </row>
    <row r="122" spans="1:28" ht="15.7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768</v>
      </c>
      <c r="O122" s="163" t="s">
        <v>657</v>
      </c>
      <c r="P122" s="163" t="s">
        <v>769</v>
      </c>
      <c r="Q122" s="163" t="s">
        <v>404</v>
      </c>
      <c r="R122" s="164">
        <v>3208001</v>
      </c>
      <c r="S122" s="165" t="s">
        <v>770</v>
      </c>
      <c r="T122" s="165" t="s">
        <v>835</v>
      </c>
      <c r="U122" s="166" t="s">
        <v>705</v>
      </c>
      <c r="V122" s="156"/>
      <c r="W122" s="156"/>
      <c r="X122" s="156"/>
      <c r="Y122" s="156"/>
      <c r="Z122" s="156"/>
      <c r="AA122" s="156"/>
      <c r="AB122" s="156"/>
    </row>
    <row r="123" spans="1:28" ht="15.7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771</v>
      </c>
      <c r="O123" s="163" t="s">
        <v>657</v>
      </c>
      <c r="P123" s="163" t="s">
        <v>772</v>
      </c>
      <c r="Q123" s="163" t="s">
        <v>404</v>
      </c>
      <c r="R123" s="164">
        <v>1259563</v>
      </c>
      <c r="S123" s="165" t="s">
        <v>773</v>
      </c>
      <c r="T123" s="165" t="s">
        <v>835</v>
      </c>
      <c r="U123" s="166" t="s">
        <v>705</v>
      </c>
      <c r="V123" s="156"/>
      <c r="W123" s="156"/>
      <c r="X123" s="156"/>
      <c r="Y123" s="156"/>
      <c r="Z123" s="156"/>
      <c r="AA123" s="156"/>
      <c r="AB123" s="156"/>
    </row>
    <row r="124" spans="1:28" ht="15.7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774</v>
      </c>
      <c r="O124" s="163" t="s">
        <v>657</v>
      </c>
      <c r="P124" s="163" t="s">
        <v>775</v>
      </c>
      <c r="Q124" s="163" t="s">
        <v>776</v>
      </c>
      <c r="R124" s="164">
        <v>3115879</v>
      </c>
      <c r="S124" s="165" t="s">
        <v>777</v>
      </c>
      <c r="T124" s="165" t="s">
        <v>835</v>
      </c>
      <c r="U124" s="166" t="s">
        <v>705</v>
      </c>
      <c r="V124" s="156"/>
      <c r="W124" s="156"/>
      <c r="X124" s="156"/>
      <c r="Y124" s="156"/>
      <c r="Z124" s="156"/>
      <c r="AA124" s="156"/>
      <c r="AB124" s="156"/>
    </row>
    <row r="125" spans="1:28" ht="15.7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778</v>
      </c>
      <c r="O125" s="163" t="s">
        <v>657</v>
      </c>
      <c r="P125" s="163" t="s">
        <v>756</v>
      </c>
      <c r="Q125" s="163" t="s">
        <v>404</v>
      </c>
      <c r="R125" s="164">
        <v>3287572</v>
      </c>
      <c r="S125" s="165" t="s">
        <v>757</v>
      </c>
      <c r="T125" s="165" t="s">
        <v>835</v>
      </c>
      <c r="U125" s="166" t="s">
        <v>705</v>
      </c>
      <c r="V125" s="156"/>
      <c r="W125" s="156"/>
      <c r="X125" s="156"/>
      <c r="Y125" s="156"/>
      <c r="Z125" s="156"/>
      <c r="AA125" s="156"/>
      <c r="AB125" s="156"/>
    </row>
    <row r="126" spans="1:28" ht="15.7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780</v>
      </c>
      <c r="O126" s="219" t="s">
        <v>657</v>
      </c>
      <c r="P126" s="219" t="s">
        <v>781</v>
      </c>
      <c r="Q126" s="219" t="s">
        <v>404</v>
      </c>
      <c r="R126" s="220">
        <v>3899772</v>
      </c>
      <c r="S126" s="221" t="s">
        <v>782</v>
      </c>
      <c r="T126" s="221" t="s">
        <v>808</v>
      </c>
      <c r="U126" s="222" t="s">
        <v>779</v>
      </c>
      <c r="V126" s="156"/>
      <c r="W126" s="156"/>
      <c r="X126" s="156"/>
      <c r="Y126" s="156"/>
      <c r="Z126" s="156"/>
      <c r="AA126" s="156"/>
      <c r="AB126" s="156"/>
    </row>
    <row r="127" spans="1:28" ht="15.7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783</v>
      </c>
      <c r="O127" s="219" t="s">
        <v>657</v>
      </c>
      <c r="P127" s="223" t="s">
        <v>784</v>
      </c>
      <c r="Q127" s="219" t="s">
        <v>404</v>
      </c>
      <c r="R127" s="220">
        <v>3205363</v>
      </c>
      <c r="S127" s="221" t="s">
        <v>785</v>
      </c>
      <c r="T127" s="221" t="s">
        <v>808</v>
      </c>
      <c r="U127" s="224" t="s">
        <v>779</v>
      </c>
      <c r="V127" s="156"/>
      <c r="W127" s="156"/>
      <c r="X127" s="156"/>
      <c r="Y127" s="156"/>
      <c r="Z127" s="156"/>
      <c r="AA127" s="156"/>
      <c r="AB127" s="156"/>
    </row>
    <row r="128" spans="1:28" ht="15.7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786</v>
      </c>
      <c r="O128" s="219" t="s">
        <v>657</v>
      </c>
      <c r="P128" s="223" t="s">
        <v>787</v>
      </c>
      <c r="Q128" s="219" t="s">
        <v>404</v>
      </c>
      <c r="R128" s="220">
        <v>1147820</v>
      </c>
      <c r="S128" s="221" t="s">
        <v>788</v>
      </c>
      <c r="T128" s="221" t="s">
        <v>808</v>
      </c>
      <c r="U128" s="224" t="s">
        <v>779</v>
      </c>
      <c r="V128" s="156"/>
      <c r="W128" s="156"/>
      <c r="X128" s="156"/>
      <c r="Y128" s="156"/>
      <c r="Z128" s="156"/>
      <c r="AA128" s="156"/>
      <c r="AB128" s="156"/>
    </row>
    <row r="129" spans="1:28" ht="15.7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789</v>
      </c>
      <c r="O129" s="219" t="s">
        <v>657</v>
      </c>
      <c r="P129" s="223" t="s">
        <v>790</v>
      </c>
      <c r="Q129" s="219" t="s">
        <v>404</v>
      </c>
      <c r="R129" s="220">
        <v>3211622</v>
      </c>
      <c r="S129" s="221" t="s">
        <v>791</v>
      </c>
      <c r="T129" s="221" t="s">
        <v>808</v>
      </c>
      <c r="U129" s="224" t="s">
        <v>779</v>
      </c>
      <c r="V129" s="156"/>
      <c r="W129" s="156"/>
      <c r="X129" s="156"/>
      <c r="Y129" s="156"/>
      <c r="Z129" s="156"/>
      <c r="AA129" s="156"/>
      <c r="AB129" s="156"/>
    </row>
    <row r="130" spans="1:28" ht="15.7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792</v>
      </c>
      <c r="O130" s="219" t="s">
        <v>657</v>
      </c>
      <c r="P130" s="223" t="s">
        <v>787</v>
      </c>
      <c r="Q130" s="219" t="s">
        <v>404</v>
      </c>
      <c r="R130" s="220">
        <v>3283020</v>
      </c>
      <c r="S130" s="221" t="s">
        <v>793</v>
      </c>
      <c r="T130" s="221" t="s">
        <v>808</v>
      </c>
      <c r="U130" s="224" t="s">
        <v>779</v>
      </c>
      <c r="V130" s="156"/>
      <c r="W130" s="156"/>
      <c r="X130" s="156"/>
      <c r="Y130" s="156"/>
      <c r="Z130" s="156"/>
      <c r="AA130" s="156"/>
      <c r="AB130" s="156"/>
    </row>
    <row r="131" spans="1:28" ht="15.7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794</v>
      </c>
      <c r="O131" s="219" t="s">
        <v>657</v>
      </c>
      <c r="P131" s="219" t="s">
        <v>403</v>
      </c>
      <c r="Q131" s="219" t="s">
        <v>404</v>
      </c>
      <c r="R131" s="220">
        <v>1778129</v>
      </c>
      <c r="S131" s="221" t="s">
        <v>795</v>
      </c>
      <c r="T131" s="221" t="s">
        <v>808</v>
      </c>
      <c r="U131" s="224" t="s">
        <v>779</v>
      </c>
      <c r="V131" s="156"/>
      <c r="W131" s="156"/>
      <c r="X131" s="156"/>
      <c r="Y131" s="156"/>
      <c r="Z131" s="156"/>
      <c r="AA131" s="156"/>
      <c r="AB131" s="156"/>
    </row>
    <row r="132" spans="1:28" ht="15.7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796</v>
      </c>
      <c r="O132" s="219" t="s">
        <v>657</v>
      </c>
      <c r="P132" s="223" t="s">
        <v>797</v>
      </c>
      <c r="Q132" s="219" t="s">
        <v>404</v>
      </c>
      <c r="R132" s="220">
        <v>1922548</v>
      </c>
      <c r="S132" s="221" t="s">
        <v>798</v>
      </c>
      <c r="T132" s="221" t="s">
        <v>808</v>
      </c>
      <c r="U132" s="224" t="s">
        <v>779</v>
      </c>
      <c r="V132" s="156"/>
      <c r="W132" s="156"/>
      <c r="X132" s="156"/>
      <c r="Y132" s="156"/>
      <c r="Z132" s="156"/>
      <c r="AA132" s="156"/>
      <c r="AB132" s="156"/>
    </row>
    <row r="133" spans="1:28" ht="15.7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799</v>
      </c>
      <c r="O133" s="219" t="s">
        <v>657</v>
      </c>
      <c r="P133" s="223" t="s">
        <v>800</v>
      </c>
      <c r="Q133" s="219" t="s">
        <v>404</v>
      </c>
      <c r="R133" s="220">
        <v>1943430</v>
      </c>
      <c r="S133" s="221" t="s">
        <v>801</v>
      </c>
      <c r="T133" s="221" t="s">
        <v>808</v>
      </c>
      <c r="U133" s="224" t="s">
        <v>779</v>
      </c>
      <c r="V133" s="156"/>
      <c r="W133" s="156"/>
      <c r="X133" s="156"/>
      <c r="Y133" s="156"/>
      <c r="Z133" s="156"/>
      <c r="AA133" s="156"/>
      <c r="AB133" s="156"/>
    </row>
    <row r="134" spans="1:28" ht="15.7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802</v>
      </c>
      <c r="O134" s="219" t="s">
        <v>657</v>
      </c>
      <c r="P134" s="223" t="s">
        <v>790</v>
      </c>
      <c r="Q134" s="219" t="s">
        <v>404</v>
      </c>
      <c r="R134" s="220">
        <v>2298007</v>
      </c>
      <c r="S134" s="221" t="s">
        <v>803</v>
      </c>
      <c r="T134" s="221" t="s">
        <v>808</v>
      </c>
      <c r="U134" s="224" t="s">
        <v>779</v>
      </c>
      <c r="V134" s="156"/>
      <c r="W134" s="156"/>
      <c r="X134" s="156"/>
      <c r="Y134" s="156"/>
      <c r="Z134" s="156"/>
      <c r="AA134" s="156"/>
      <c r="AB134" s="156"/>
    </row>
    <row r="135" spans="1:28" ht="15.7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804</v>
      </c>
      <c r="O135" s="219" t="s">
        <v>657</v>
      </c>
      <c r="P135" s="223" t="s">
        <v>805</v>
      </c>
      <c r="Q135" s="219" t="s">
        <v>404</v>
      </c>
      <c r="R135" s="220">
        <v>2650029</v>
      </c>
      <c r="S135" s="221" t="s">
        <v>806</v>
      </c>
      <c r="T135" s="221" t="s">
        <v>808</v>
      </c>
      <c r="U135" s="224" t="s">
        <v>779</v>
      </c>
      <c r="V135" s="156"/>
      <c r="W135" s="156"/>
      <c r="X135" s="156"/>
      <c r="Y135" s="156"/>
      <c r="Z135" s="156"/>
      <c r="AA135" s="156"/>
      <c r="AB135" s="156"/>
    </row>
    <row r="136" spans="1:28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password="DE31" sheet="1" objects="1" scenarios="1" selectLockedCells="1"/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zoomScaleNormal="100" workbookViewId="0">
      <pane ySplit="2" topLeftCell="A3" activePane="bottomLeft" state="frozen"/>
      <selection pane="bottomLeft" activeCell="I13" sqref="I1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1" t="s">
        <v>812</v>
      </c>
      <c r="B1" s="261"/>
      <c r="C1" s="261"/>
      <c r="D1" s="261"/>
      <c r="E1" s="205" t="str">
        <f>IF('Opći dio'!C3="odaberite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844</v>
      </c>
      <c r="F2" s="68" t="s">
        <v>845</v>
      </c>
      <c r="G2" s="207" t="s">
        <v>837</v>
      </c>
      <c r="H2" s="207" t="s">
        <v>838</v>
      </c>
      <c r="I2" s="207" t="s">
        <v>839</v>
      </c>
      <c r="K2" s="147" t="s">
        <v>813</v>
      </c>
      <c r="L2" s="147" t="s">
        <v>814</v>
      </c>
      <c r="R2" s="62" t="s">
        <v>830</v>
      </c>
    </row>
    <row r="3" spans="1:22">
      <c r="A3" s="142" t="str">
        <f>IF(E3="","",VLOOKUP('Opći dio'!$C$3,'Opći dio'!$L$6:$U$135,10,FALSE))</f>
        <v>08006</v>
      </c>
      <c r="B3" s="142" t="str">
        <f>IF(E3="","",VLOOKUP('Opći dio'!$C$3,'Opći dio'!$L$6:$U$135,9,FALSE))</f>
        <v>Sveučilišta i veleučilišta u Republici Hrvatskoj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830</v>
      </c>
      <c r="F3" s="206" t="str">
        <f>IFERROR(VLOOKUP(E3,$R$6:$U$73,2,FALSE),"")</f>
        <v>Prihodi iz nadležnog proračuna za financiranje redovne djelatnosti proračunskih korisnika</v>
      </c>
      <c r="G3" s="198">
        <v>9557262</v>
      </c>
      <c r="H3" s="198">
        <v>9640200</v>
      </c>
      <c r="I3" s="198">
        <v>9787488</v>
      </c>
      <c r="K3" s="144" t="str">
        <f>LEFT(E3,3)</f>
        <v>671</v>
      </c>
      <c r="L3" s="144" t="str">
        <f>LEFT(E3,2)</f>
        <v>67</v>
      </c>
      <c r="M3" t="s">
        <v>394</v>
      </c>
      <c r="R3" s="62" t="s">
        <v>831</v>
      </c>
    </row>
    <row r="4" spans="1:22">
      <c r="A4" s="142" t="str">
        <f>IF(E4="","",VLOOKUP('Opći dio'!$C$3,'Opći dio'!$L$6:$U$135,10,FALSE))</f>
        <v>08006</v>
      </c>
      <c r="B4" s="142" t="str">
        <f>IF(E4="","",VLOOKUP('Opći dio'!$C$3,'Opći dio'!$L$6:$U$135,9,FALSE))</f>
        <v>Sveučilišta i veleučilišta u Republici Hrvatskoj</v>
      </c>
      <c r="C4" s="202">
        <f t="shared" si="0"/>
        <v>52</v>
      </c>
      <c r="D4" s="140" t="str">
        <f t="shared" si="1"/>
        <v>Ostale pomoći</v>
      </c>
      <c r="E4" s="153">
        <v>6361</v>
      </c>
      <c r="F4" s="141" t="str">
        <f t="shared" ref="F4:F66" si="2">IFERROR(VLOOKUP(E4,$R$6:$U$73,2,FALSE),"")</f>
        <v>Tekuće pomoći proračunskim korisnicima iz proračuna koji im nije nadležan</v>
      </c>
      <c r="G4" s="198">
        <v>0</v>
      </c>
      <c r="H4" s="198"/>
      <c r="I4" s="198"/>
      <c r="K4" s="144" t="str">
        <f t="shared" ref="K4:K67" si="3">LEFT(E4,3)</f>
        <v>636</v>
      </c>
      <c r="L4" s="144" t="str">
        <f t="shared" ref="L4:L67" si="4">LEFT(E4,2)</f>
        <v>63</v>
      </c>
    </row>
    <row r="5" spans="1:22">
      <c r="A5" s="142" t="str">
        <f>IF(E5="","",VLOOKUP('Opći dio'!$C$3,'Opći dio'!$L$6:$U$135,10,FALSE))</f>
        <v>08006</v>
      </c>
      <c r="B5" s="142" t="str">
        <f>IF(E5="","",VLOOKUP('Opći dio'!$C$3,'Opći dio'!$L$6:$U$135,9,FALSE))</f>
        <v>Sveučilišta i veleučilišta u Republici Hrvatskoj</v>
      </c>
      <c r="C5" s="202">
        <f t="shared" si="0"/>
        <v>52</v>
      </c>
      <c r="D5" s="140" t="str">
        <f t="shared" si="1"/>
        <v>Ostale pomoći</v>
      </c>
      <c r="E5" s="153">
        <v>6393</v>
      </c>
      <c r="F5" s="141" t="str">
        <f t="shared" si="2"/>
        <v>Tekući prijenosi između proračunskih korisnika istog proračuna temeljem prijenosa EU sredstava</v>
      </c>
      <c r="G5" s="198">
        <v>62544</v>
      </c>
      <c r="H5" s="198">
        <v>73774</v>
      </c>
      <c r="I5" s="198">
        <v>84041</v>
      </c>
      <c r="K5" s="144" t="str">
        <f t="shared" si="3"/>
        <v>639</v>
      </c>
      <c r="L5" s="144" t="str">
        <f t="shared" si="4"/>
        <v>63</v>
      </c>
      <c r="M5" s="144" t="s">
        <v>57</v>
      </c>
      <c r="N5" s="144"/>
      <c r="O5" s="144" t="s">
        <v>58</v>
      </c>
      <c r="R5" s="69" t="s">
        <v>815</v>
      </c>
      <c r="S5" s="68" t="s">
        <v>832</v>
      </c>
      <c r="T5" s="68" t="s">
        <v>833</v>
      </c>
      <c r="U5" s="68" t="s">
        <v>58</v>
      </c>
      <c r="V5" s="152" t="s">
        <v>834</v>
      </c>
    </row>
    <row r="6" spans="1:22">
      <c r="A6" s="142" t="str">
        <f>IF(E6="","",VLOOKUP('Opći dio'!$C$3,'Opći dio'!$L$6:$U$135,10,FALSE))</f>
        <v>08006</v>
      </c>
      <c r="B6" s="142" t="str">
        <f>IF(E6="","",VLOOKUP('Opći dio'!$C$3,'Opći dio'!$L$6:$U$135,9,FALSE))</f>
        <v>Sveučilišta i veleučilišta u Republici Hrvatskoj</v>
      </c>
      <c r="C6" s="202">
        <f t="shared" si="0"/>
        <v>31</v>
      </c>
      <c r="D6" s="140" t="str">
        <f t="shared" si="1"/>
        <v>Vlastiti prihodi</v>
      </c>
      <c r="E6" s="153">
        <v>6615</v>
      </c>
      <c r="F6" s="141" t="str">
        <f t="shared" si="2"/>
        <v>Prihodi od pruženih usluga</v>
      </c>
      <c r="G6" s="198">
        <v>185000</v>
      </c>
      <c r="H6" s="198">
        <v>190000</v>
      </c>
      <c r="I6" s="198">
        <v>210000</v>
      </c>
      <c r="K6" s="144" t="str">
        <f t="shared" si="3"/>
        <v>661</v>
      </c>
      <c r="L6" s="144" t="str">
        <f t="shared" si="4"/>
        <v>66</v>
      </c>
      <c r="M6" s="144">
        <v>11</v>
      </c>
      <c r="N6" s="144"/>
      <c r="O6" s="144" t="s">
        <v>65</v>
      </c>
      <c r="R6" s="200" t="s">
        <v>830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str">
        <f>IF(E7="","",VLOOKUP('Opći dio'!$C$3,'Opći dio'!$L$6:$U$135,10,FALSE))</f>
        <v>08006</v>
      </c>
      <c r="B7" s="142" t="str">
        <f>IF(E7="","",VLOOKUP('Opći dio'!$C$3,'Opći dio'!$L$6:$U$135,9,FALSE))</f>
        <v>Sveučilišta i veleučilišta u Republici Hrvatskoj</v>
      </c>
      <c r="C7" s="202">
        <f t="shared" si="0"/>
        <v>43</v>
      </c>
      <c r="D7" s="140" t="str">
        <f t="shared" si="1"/>
        <v>Ostali prihodi za posebne namjene</v>
      </c>
      <c r="E7" s="153">
        <v>65264</v>
      </c>
      <c r="F7" s="141" t="str">
        <f t="shared" si="2"/>
        <v>Sufinanciranje cijene usluge, participacije i slično</v>
      </c>
      <c r="G7" s="198">
        <v>280000</v>
      </c>
      <c r="H7" s="198">
        <v>290000</v>
      </c>
      <c r="I7" s="198">
        <v>300000</v>
      </c>
      <c r="K7" s="144" t="str">
        <f t="shared" si="3"/>
        <v>652</v>
      </c>
      <c r="L7" s="144" t="str">
        <f t="shared" si="4"/>
        <v>65</v>
      </c>
      <c r="M7" s="144">
        <v>12</v>
      </c>
      <c r="N7" s="144"/>
      <c r="O7" s="144" t="s">
        <v>286</v>
      </c>
      <c r="R7" s="200" t="s">
        <v>831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str">
        <f>IF(E8="","",VLOOKUP('Opći dio'!$C$3,'Opći dio'!$L$6:$U$135,10,FALSE))</f>
        <v>08006</v>
      </c>
      <c r="B8" s="142" t="str">
        <f>IF(E8="","",VLOOKUP('Opći dio'!$C$3,'Opći dio'!$L$6:$U$135,9,FALSE))</f>
        <v>Sveučilišta i veleučilišta u Republici Hrvatskoj</v>
      </c>
      <c r="C8" s="202">
        <f t="shared" si="0"/>
        <v>52</v>
      </c>
      <c r="D8" s="140" t="str">
        <f t="shared" si="1"/>
        <v>Ostale pomoći</v>
      </c>
      <c r="E8" s="153">
        <v>6391</v>
      </c>
      <c r="F8" s="141" t="str">
        <f t="shared" si="2"/>
        <v>Tekući prijenosi između proračunskih korisnika istog proračuna</v>
      </c>
      <c r="G8" s="198">
        <v>645007</v>
      </c>
      <c r="H8" s="198">
        <v>670000</v>
      </c>
      <c r="I8" s="198">
        <v>680000</v>
      </c>
      <c r="K8" s="144" t="str">
        <f t="shared" si="3"/>
        <v>639</v>
      </c>
      <c r="L8" s="144" t="str">
        <f t="shared" si="4"/>
        <v>63</v>
      </c>
      <c r="M8" s="144">
        <v>31</v>
      </c>
      <c r="N8" s="144"/>
      <c r="O8" s="144" t="s">
        <v>110</v>
      </c>
      <c r="R8" s="199">
        <v>636</v>
      </c>
      <c r="S8" s="199" t="s">
        <v>817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str">
        <f>IF(E9="","",VLOOKUP('Opći dio'!$C$3,'Opći dio'!$L$6:$U$135,10,FALSE))</f>
        <v>08006</v>
      </c>
      <c r="B9" s="142" t="str">
        <f>IF(E9="","",VLOOKUP('Opći dio'!$C$3,'Opći dio'!$L$6:$U$135,9,FALSE))</f>
        <v>Sveučilišta i veleučilišta u Republici Hrvatskoj</v>
      </c>
      <c r="C9" s="202">
        <f t="shared" si="0"/>
        <v>52</v>
      </c>
      <c r="D9" s="140" t="str">
        <f t="shared" si="1"/>
        <v>Ostale pomoći</v>
      </c>
      <c r="E9" s="153">
        <v>6361</v>
      </c>
      <c r="F9" s="141" t="str">
        <f t="shared" si="2"/>
        <v>Tekuće pomoći proračunskim korisnicima iz proračuna koji im nije nadležan</v>
      </c>
      <c r="G9" s="198">
        <v>130000</v>
      </c>
      <c r="H9" s="198"/>
      <c r="I9" s="198"/>
      <c r="K9" s="144" t="str">
        <f t="shared" si="3"/>
        <v>636</v>
      </c>
      <c r="L9" s="144" t="str">
        <f t="shared" si="4"/>
        <v>63</v>
      </c>
      <c r="M9" s="144">
        <v>43</v>
      </c>
      <c r="N9" s="144"/>
      <c r="O9" s="144" t="s">
        <v>115</v>
      </c>
      <c r="R9" s="199">
        <v>651</v>
      </c>
      <c r="S9" s="199" t="s">
        <v>818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str">
        <f>IF(E10="","",VLOOKUP('Opći dio'!$C$3,'Opći dio'!$L$6:$U$135,10,FALSE))</f>
        <v>08006</v>
      </c>
      <c r="B10" s="142" t="str">
        <f>IF(E10="","",VLOOKUP('Opći dio'!$C$3,'Opći dio'!$L$6:$U$135,9,FALSE))</f>
        <v>Sveučilišta i veleučilišta u Republici Hrvatskoj</v>
      </c>
      <c r="C10" s="202">
        <f t="shared" si="0"/>
        <v>61</v>
      </c>
      <c r="D10" s="140" t="str">
        <f t="shared" si="1"/>
        <v>Donacije</v>
      </c>
      <c r="E10" s="153">
        <v>663120000</v>
      </c>
      <c r="F10" s="141" t="str">
        <f t="shared" si="2"/>
        <v>Tekuće donacije od neprofitnih organizacija</v>
      </c>
      <c r="G10" s="198">
        <v>140000</v>
      </c>
      <c r="H10" s="198">
        <v>60000</v>
      </c>
      <c r="I10" s="198">
        <v>65000</v>
      </c>
      <c r="K10" s="144" t="str">
        <f t="shared" si="3"/>
        <v>663</v>
      </c>
      <c r="L10" s="144" t="str">
        <f t="shared" si="4"/>
        <v>66</v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str">
        <f>IF(E11="","",VLOOKUP('Opći dio'!$C$3,'Opći dio'!$L$6:$U$135,10,FALSE))</f>
        <v>08006</v>
      </c>
      <c r="B11" s="142" t="str">
        <f>IF(E11="","",VLOOKUP('Opći dio'!$C$3,'Opći dio'!$L$6:$U$135,9,FALSE))</f>
        <v>Sveučilišta i veleučilišta u Republici Hrvatskoj</v>
      </c>
      <c r="C11" s="202">
        <f t="shared" si="0"/>
        <v>61</v>
      </c>
      <c r="D11" s="140" t="str">
        <f t="shared" si="1"/>
        <v>Donacije</v>
      </c>
      <c r="E11" s="153">
        <v>663130000</v>
      </c>
      <c r="F11" s="141" t="str">
        <f t="shared" si="2"/>
        <v>Tekuće donacije od trgovačkih društava</v>
      </c>
      <c r="G11" s="198">
        <v>70000</v>
      </c>
      <c r="H11" s="198"/>
      <c r="I11" s="198"/>
      <c r="K11" s="144" t="str">
        <f t="shared" si="3"/>
        <v>663</v>
      </c>
      <c r="L11" s="144" t="str">
        <f t="shared" si="4"/>
        <v>66</v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str">
        <f>IF(E12="","",VLOOKUP('Opći dio'!$C$3,'Opći dio'!$L$6:$U$135,10,FALSE))</f>
        <v>08006</v>
      </c>
      <c r="B12" s="142" t="str">
        <f>IF(E12="","",VLOOKUP('Opći dio'!$C$3,'Opći dio'!$L$6:$U$135,9,FALSE))</f>
        <v>Sveučilišta i veleučilišta u Republici Hrvatskoj</v>
      </c>
      <c r="C12" s="202">
        <f t="shared" si="0"/>
        <v>52</v>
      </c>
      <c r="D12" s="140" t="str">
        <f t="shared" si="1"/>
        <v>Ostale pomoći</v>
      </c>
      <c r="E12" s="153">
        <v>6391</v>
      </c>
      <c r="F12" s="141" t="str">
        <f t="shared" si="2"/>
        <v>Tekući prijenosi između proračunskih korisnika istog proračuna</v>
      </c>
      <c r="G12" s="198">
        <v>37390</v>
      </c>
      <c r="H12" s="198">
        <v>37390</v>
      </c>
      <c r="I12" s="198">
        <v>37390</v>
      </c>
      <c r="K12" s="144" t="str">
        <f t="shared" si="3"/>
        <v>639</v>
      </c>
      <c r="L12" s="144" t="str">
        <f t="shared" si="4"/>
        <v>63</v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>
      <c r="A13" s="142" t="str">
        <f>IF(E13="","",VLOOKUP('Opći dio'!$C$3,'Opći dio'!$L$6:$U$135,10,FALSE))</f>
        <v>08006</v>
      </c>
      <c r="B13" s="142" t="str">
        <f>IF(E13="","",VLOOKUP('Opći dio'!$C$3,'Opći dio'!$L$6:$U$135,9,FALSE))</f>
        <v>Sveučilišta i veleučilišta u Republici Hrvatskoj</v>
      </c>
      <c r="C13" s="202">
        <f t="shared" si="0"/>
        <v>561</v>
      </c>
      <c r="D13" s="140" t="str">
        <f t="shared" si="1"/>
        <v>Europski socijalni fond (ESF)</v>
      </c>
      <c r="E13" s="153">
        <v>632310561</v>
      </c>
      <c r="F13" s="141" t="str">
        <f t="shared" si="2"/>
        <v>Tekuće pomoći od institucija i tijela EU - ESF</v>
      </c>
      <c r="G13" s="198"/>
      <c r="H13" s="198"/>
      <c r="I13" s="198"/>
      <c r="K13" s="144" t="str">
        <f t="shared" si="3"/>
        <v>632</v>
      </c>
      <c r="L13" s="144" t="str">
        <f t="shared" si="4"/>
        <v>63</v>
      </c>
      <c r="M13" s="144">
        <v>71</v>
      </c>
      <c r="N13" s="144"/>
      <c r="O13" s="144" t="s">
        <v>193</v>
      </c>
      <c r="R13" s="210">
        <v>6382</v>
      </c>
      <c r="S13" s="210" t="s">
        <v>843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str">
        <f>IF(E14="","",VLOOKUP('Opći dio'!$C$3,'Opći dio'!$L$6:$U$135,10,FALSE))</f>
        <v>08006</v>
      </c>
      <c r="B14" s="142" t="str">
        <f>IF(E14="","",VLOOKUP('Opći dio'!$C$3,'Opći dio'!$L$6:$U$135,9,FALSE))</f>
        <v>Sveučilišta i veleučilišta u Republici Hrvatskoj</v>
      </c>
      <c r="C14" s="202">
        <f t="shared" si="0"/>
        <v>31</v>
      </c>
      <c r="D14" s="140" t="str">
        <f t="shared" si="1"/>
        <v>Vlastiti prihodi</v>
      </c>
      <c r="E14" s="153">
        <v>6615</v>
      </c>
      <c r="F14" s="141" t="str">
        <f t="shared" si="2"/>
        <v>Prihodi od pruženih usluga</v>
      </c>
      <c r="G14" s="198"/>
      <c r="H14" s="198"/>
      <c r="I14" s="198"/>
      <c r="K14" s="144" t="str">
        <f t="shared" si="3"/>
        <v>661</v>
      </c>
      <c r="L14" s="144" t="str">
        <f t="shared" si="4"/>
        <v>66</v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/>
      </c>
      <c r="B15" s="142" t="str">
        <f>IF(E15="","",VLOOKUP('Opći dio'!$C$3,'Opći dio'!$L$6:$U$135,9,FALSE))</f>
        <v/>
      </c>
      <c r="C15" s="202" t="str">
        <f t="shared" si="0"/>
        <v/>
      </c>
      <c r="D15" s="140" t="str">
        <f t="shared" si="1"/>
        <v/>
      </c>
      <c r="E15" s="153"/>
      <c r="F15" s="141" t="str">
        <f t="shared" si="2"/>
        <v/>
      </c>
      <c r="G15" s="198"/>
      <c r="H15" s="198"/>
      <c r="I15" s="198"/>
      <c r="K15" s="144" t="str">
        <f t="shared" si="3"/>
        <v/>
      </c>
      <c r="L15" s="144" t="str">
        <f t="shared" si="4"/>
        <v/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str">
        <f>IF(E16="","",VLOOKUP('Opći dio'!$C$3,'Opći dio'!$L$6:$U$135,10,FALSE))</f>
        <v/>
      </c>
      <c r="B16" s="142" t="str">
        <f>IF(E16="","",VLOOKUP('Opći dio'!$C$3,'Opći dio'!$L$6:$U$135,9,FALSE))</f>
        <v/>
      </c>
      <c r="C16" s="202" t="str">
        <f t="shared" si="0"/>
        <v/>
      </c>
      <c r="D16" s="140" t="str">
        <f t="shared" si="1"/>
        <v/>
      </c>
      <c r="E16" s="153"/>
      <c r="F16" s="141" t="str">
        <f t="shared" si="2"/>
        <v/>
      </c>
      <c r="G16" s="198"/>
      <c r="H16" s="198"/>
      <c r="I16" s="198"/>
      <c r="K16" s="144" t="str">
        <f t="shared" si="3"/>
        <v/>
      </c>
      <c r="L16" s="144" t="str">
        <f t="shared" si="4"/>
        <v/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str">
        <f>IF(E17="","",VLOOKUP('Opći dio'!$C$3,'Opći dio'!$L$6:$U$135,10,FALSE))</f>
        <v/>
      </c>
      <c r="B17" s="142" t="str">
        <f>IF(E17="","",VLOOKUP('Opći dio'!$C$3,'Opći dio'!$L$6:$U$135,9,FALSE))</f>
        <v/>
      </c>
      <c r="C17" s="202" t="str">
        <f t="shared" si="0"/>
        <v/>
      </c>
      <c r="D17" s="140" t="str">
        <f t="shared" si="1"/>
        <v/>
      </c>
      <c r="E17" s="153"/>
      <c r="F17" s="141" t="str">
        <f t="shared" si="2"/>
        <v/>
      </c>
      <c r="G17" s="198"/>
      <c r="H17" s="198"/>
      <c r="I17" s="198"/>
      <c r="K17" s="144" t="str">
        <f t="shared" si="3"/>
        <v/>
      </c>
      <c r="L17" s="144" t="str">
        <f t="shared" si="4"/>
        <v/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IF(E18="","",VLOOKUP('Opći dio'!$C$3,'Opći dio'!$L$6:$U$135,10,FALSE))</f>
        <v/>
      </c>
      <c r="B18" s="142" t="str">
        <f>IF(E18="","",VLOOKUP('Opći dio'!$C$3,'Opći dio'!$L$6:$U$135,9,FALSE))</f>
        <v/>
      </c>
      <c r="C18" s="202" t="str">
        <f t="shared" si="0"/>
        <v/>
      </c>
      <c r="D18" s="140" t="str">
        <f t="shared" si="1"/>
        <v/>
      </c>
      <c r="E18" s="153"/>
      <c r="F18" s="141" t="str">
        <f t="shared" si="2"/>
        <v/>
      </c>
      <c r="G18" s="198"/>
      <c r="H18" s="198"/>
      <c r="I18" s="198"/>
      <c r="K18" s="144" t="str">
        <f t="shared" si="3"/>
        <v/>
      </c>
      <c r="L18" s="144" t="str">
        <f t="shared" si="4"/>
        <v/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IF(E19="","",VLOOKUP('Opći dio'!$C$3,'Opći dio'!$L$6:$U$135,10,FALSE))</f>
        <v/>
      </c>
      <c r="B19" s="142" t="str">
        <f>IF(E19="","",VLOOKUP('Opći dio'!$C$3,'Opći dio'!$L$6:$U$135,9,FALSE))</f>
        <v/>
      </c>
      <c r="C19" s="202" t="str">
        <f t="shared" si="0"/>
        <v/>
      </c>
      <c r="D19" s="140" t="str">
        <f t="shared" si="1"/>
        <v/>
      </c>
      <c r="E19" s="153"/>
      <c r="F19" s="141" t="str">
        <f t="shared" si="2"/>
        <v/>
      </c>
      <c r="G19" s="198"/>
      <c r="H19" s="198"/>
      <c r="I19" s="198"/>
      <c r="K19" s="144" t="str">
        <f t="shared" si="3"/>
        <v/>
      </c>
      <c r="L19" s="144" t="str">
        <f t="shared" si="4"/>
        <v/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IF(E20="","",VLOOKUP('Opći dio'!$C$3,'Opći dio'!$L$6:$U$135,10,FALSE))</f>
        <v/>
      </c>
      <c r="B20" s="142" t="str">
        <f>IF(E20="","",VLOOKUP('Opći dio'!$C$3,'Opći dio'!$L$6:$U$135,9,FALSE))</f>
        <v/>
      </c>
      <c r="C20" s="202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98"/>
      <c r="H20" s="198"/>
      <c r="I20" s="198"/>
      <c r="K20" s="144" t="str">
        <f t="shared" si="3"/>
        <v/>
      </c>
      <c r="L20" s="144" t="str">
        <f t="shared" si="4"/>
        <v/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IF(E21="","",VLOOKUP('Opći dio'!$C$3,'Opći dio'!$L$6:$U$135,10,FALSE))</f>
        <v/>
      </c>
      <c r="B21" s="142" t="str">
        <f>IF(E21="","",VLOOKUP('Opći dio'!$C$3,'Opći dio'!$L$6:$U$135,9,FALSE))</f>
        <v/>
      </c>
      <c r="C21" s="202" t="str">
        <f t="shared" si="0"/>
        <v/>
      </c>
      <c r="D21" s="140" t="str">
        <f t="shared" si="1"/>
        <v/>
      </c>
      <c r="E21" s="153"/>
      <c r="F21" s="141" t="str">
        <f t="shared" si="2"/>
        <v/>
      </c>
      <c r="G21" s="198"/>
      <c r="H21" s="198"/>
      <c r="I21" s="198"/>
      <c r="K21" s="144" t="str">
        <f t="shared" si="3"/>
        <v/>
      </c>
      <c r="L21" s="144" t="str">
        <f t="shared" si="4"/>
        <v/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>
      <c r="A22" s="142" t="str">
        <f>IF(E22="","",VLOOKUP('Opći dio'!$C$3,'Opći dio'!$L$6:$U$135,10,FALSE))</f>
        <v/>
      </c>
      <c r="B22" s="142" t="str">
        <f>IF(E22="","",VLOOKUP('Opći dio'!$C$3,'Opći dio'!$L$6:$U$135,9,FALSE))</f>
        <v/>
      </c>
      <c r="C22" s="202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98"/>
      <c r="H22" s="198"/>
      <c r="I22" s="198"/>
      <c r="K22" s="144" t="str">
        <f t="shared" si="3"/>
        <v/>
      </c>
      <c r="L22" s="144" t="str">
        <f t="shared" si="4"/>
        <v/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IF(E23="","",VLOOKUP('Opći dio'!$C$3,'Opći dio'!$L$6:$U$135,10,FALSE))</f>
        <v/>
      </c>
      <c r="B23" s="142" t="str">
        <f>IF(E23="","",VLOOKUP('Opći dio'!$C$3,'Opći dio'!$L$6:$U$135,9,FALSE))</f>
        <v/>
      </c>
      <c r="C23" s="202" t="str">
        <f t="shared" si="0"/>
        <v/>
      </c>
      <c r="D23" s="140" t="str">
        <f t="shared" si="1"/>
        <v/>
      </c>
      <c r="E23" s="153"/>
      <c r="F23" s="141" t="str">
        <f t="shared" si="2"/>
        <v/>
      </c>
      <c r="G23" s="198"/>
      <c r="H23" s="198"/>
      <c r="I23" s="198"/>
      <c r="K23" s="144" t="str">
        <f t="shared" si="3"/>
        <v/>
      </c>
      <c r="L23" s="144" t="str">
        <f t="shared" si="4"/>
        <v/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IF(E24="","",VLOOKUP('Opći dio'!$C$3,'Opći dio'!$L$6:$U$135,10,FALSE))</f>
        <v/>
      </c>
      <c r="B24" s="142" t="str">
        <f>IF(E24="","",VLOOKUP('Opći dio'!$C$3,'Opći dio'!$L$6:$U$135,9,FALSE))</f>
        <v/>
      </c>
      <c r="C24" s="202" t="str">
        <f t="shared" si="0"/>
        <v/>
      </c>
      <c r="D24" s="140" t="str">
        <f t="shared" si="1"/>
        <v/>
      </c>
      <c r="E24" s="153"/>
      <c r="F24" s="141" t="str">
        <f t="shared" si="2"/>
        <v/>
      </c>
      <c r="G24" s="198"/>
      <c r="H24" s="198"/>
      <c r="I24" s="198"/>
      <c r="K24" s="144" t="str">
        <f t="shared" si="3"/>
        <v/>
      </c>
      <c r="L24" s="144" t="str">
        <f t="shared" si="4"/>
        <v/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>
      <c r="A25" s="142" t="str">
        <f>IF(E25="","",VLOOKUP('Opći dio'!$C$3,'Opći dio'!$L$6:$U$135,10,FALSE))</f>
        <v/>
      </c>
      <c r="B25" s="142" t="str">
        <f>IF(E25="","",VLOOKUP('Opći dio'!$C$3,'Opći dio'!$L$6:$U$135,9,FALSE))</f>
        <v/>
      </c>
      <c r="C25" s="202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98"/>
      <c r="H25" s="198"/>
      <c r="I25" s="198"/>
      <c r="K25" s="144" t="str">
        <f t="shared" si="3"/>
        <v/>
      </c>
      <c r="L25" s="144" t="str">
        <f t="shared" si="4"/>
        <v/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IF(E26="","",VLOOKUP('Opći dio'!$C$3,'Opći dio'!$L$6:$U$135,10,FALSE))</f>
        <v/>
      </c>
      <c r="B26" s="142" t="str">
        <f>IF(E26="","",VLOOKUP('Opći dio'!$C$3,'Opći dio'!$L$6:$U$135,9,FALSE))</f>
        <v/>
      </c>
      <c r="C26" s="202" t="str">
        <f t="shared" si="0"/>
        <v/>
      </c>
      <c r="D26" s="140" t="str">
        <f t="shared" si="1"/>
        <v/>
      </c>
      <c r="E26" s="153"/>
      <c r="F26" s="141" t="str">
        <f t="shared" si="2"/>
        <v/>
      </c>
      <c r="G26" s="198"/>
      <c r="H26" s="198"/>
      <c r="I26" s="198"/>
      <c r="K26" s="144" t="str">
        <f t="shared" si="3"/>
        <v/>
      </c>
      <c r="L26" s="144" t="str">
        <f t="shared" si="4"/>
        <v/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IF(E27="","",VLOOKUP('Opći dio'!$C$3,'Opći dio'!$L$6:$U$135,10,FALSE))</f>
        <v/>
      </c>
      <c r="B27" s="142" t="str">
        <f>IF(E27="","",VLOOKUP('Opći dio'!$C$3,'Opći dio'!$L$6:$U$135,9,FALSE))</f>
        <v/>
      </c>
      <c r="C27" s="202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98"/>
      <c r="H27" s="198"/>
      <c r="I27" s="198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IF(E28="","",VLOOKUP('Opći dio'!$C$3,'Opći dio'!$L$6:$U$135,10,FALSE))</f>
        <v/>
      </c>
      <c r="B28" s="142" t="str">
        <f>IF(E28="","",VLOOKUP('Opći dio'!$C$3,'Opći dio'!$L$6:$U$135,9,FALSE))</f>
        <v/>
      </c>
      <c r="C28" s="202" t="str">
        <f t="shared" si="0"/>
        <v/>
      </c>
      <c r="D28" s="140" t="str">
        <f t="shared" si="1"/>
        <v/>
      </c>
      <c r="E28" s="153"/>
      <c r="F28" s="141" t="str">
        <f t="shared" si="2"/>
        <v/>
      </c>
      <c r="G28" s="198"/>
      <c r="H28" s="198"/>
      <c r="I28" s="198"/>
      <c r="K28" s="144" t="str">
        <f t="shared" si="3"/>
        <v/>
      </c>
      <c r="L28" s="144" t="str">
        <f t="shared" si="4"/>
        <v/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IF(E29="","",VLOOKUP('Opći dio'!$C$3,'Opći dio'!$L$6:$U$135,10,FALSE))</f>
        <v/>
      </c>
      <c r="B29" s="142" t="str">
        <f>IF(E29="","",VLOOKUP('Opći dio'!$C$3,'Opći dio'!$L$6:$U$135,9,FALSE))</f>
        <v/>
      </c>
      <c r="C29" s="202" t="str">
        <f t="shared" si="0"/>
        <v/>
      </c>
      <c r="D29" s="140" t="str">
        <f t="shared" si="1"/>
        <v/>
      </c>
      <c r="E29" s="153"/>
      <c r="F29" s="141" t="str">
        <f t="shared" si="2"/>
        <v/>
      </c>
      <c r="G29" s="198"/>
      <c r="H29" s="198"/>
      <c r="I29" s="198"/>
      <c r="K29" s="144" t="str">
        <f t="shared" si="3"/>
        <v/>
      </c>
      <c r="L29" s="144" t="str">
        <f t="shared" si="4"/>
        <v/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IF(E30="","",VLOOKUP('Opći dio'!$C$3,'Opći dio'!$L$6:$U$135,10,FALSE))</f>
        <v/>
      </c>
      <c r="B30" s="142" t="str">
        <f>IF(E30="","",VLOOKUP('Opći dio'!$C$3,'Opći dio'!$L$6:$U$135,9,FALSE))</f>
        <v/>
      </c>
      <c r="C30" s="202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98"/>
      <c r="H30" s="198"/>
      <c r="I30" s="198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IF(E31="","",VLOOKUP('Opći dio'!$C$3,'Opći dio'!$L$6:$U$135,10,FALSE))</f>
        <v/>
      </c>
      <c r="B31" s="142" t="str">
        <f>IF(E31="","",VLOOKUP('Opći dio'!$C$3,'Opći dio'!$L$6:$U$135,9,FALSE))</f>
        <v/>
      </c>
      <c r="C31" s="202" t="str">
        <f t="shared" si="0"/>
        <v/>
      </c>
      <c r="D31" s="140" t="str">
        <f t="shared" si="1"/>
        <v/>
      </c>
      <c r="E31" s="153"/>
      <c r="F31" s="141" t="str">
        <f t="shared" si="2"/>
        <v/>
      </c>
      <c r="G31" s="198"/>
      <c r="H31" s="198"/>
      <c r="I31" s="198"/>
      <c r="K31" s="144" t="str">
        <f t="shared" si="3"/>
        <v/>
      </c>
      <c r="L31" s="144" t="str">
        <f t="shared" si="4"/>
        <v/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IF(E32="","",VLOOKUP('Opći dio'!$C$3,'Opći dio'!$L$6:$U$135,10,FALSE))</f>
        <v/>
      </c>
      <c r="B32" s="142" t="str">
        <f>IF(E32="","",VLOOKUP('Opći dio'!$C$3,'Opći dio'!$L$6:$U$135,9,FALSE))</f>
        <v/>
      </c>
      <c r="C32" s="202" t="str">
        <f t="shared" si="0"/>
        <v/>
      </c>
      <c r="D32" s="140" t="str">
        <f t="shared" si="1"/>
        <v/>
      </c>
      <c r="E32" s="153"/>
      <c r="F32" s="141" t="str">
        <f t="shared" si="2"/>
        <v/>
      </c>
      <c r="G32" s="198"/>
      <c r="H32" s="198"/>
      <c r="I32" s="198"/>
      <c r="K32" s="144" t="str">
        <f t="shared" si="3"/>
        <v/>
      </c>
      <c r="L32" s="144" t="str">
        <f t="shared" si="4"/>
        <v/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IF(E33="","",VLOOKUP('Opći dio'!$C$3,'Opći dio'!$L$6:$U$135,10,FALSE))</f>
        <v/>
      </c>
      <c r="B33" s="142" t="str">
        <f>IF(E33="","",VLOOKUP('Opći dio'!$C$3,'Opći dio'!$L$6:$U$135,9,FALSE))</f>
        <v/>
      </c>
      <c r="C33" s="202" t="str">
        <f t="shared" si="0"/>
        <v/>
      </c>
      <c r="D33" s="140" t="str">
        <f t="shared" si="1"/>
        <v/>
      </c>
      <c r="E33" s="153"/>
      <c r="F33" s="141" t="str">
        <f t="shared" si="2"/>
        <v/>
      </c>
      <c r="G33" s="198"/>
      <c r="H33" s="198"/>
      <c r="I33" s="198"/>
      <c r="K33" s="144" t="str">
        <f t="shared" si="3"/>
        <v/>
      </c>
      <c r="L33" s="144" t="str">
        <f t="shared" si="4"/>
        <v/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IF(E34="","",VLOOKUP('Opći dio'!$C$3,'Opći dio'!$L$6:$U$135,10,FALSE))</f>
        <v/>
      </c>
      <c r="B34" s="142" t="str">
        <f>IF(E34="","",VLOOKUP('Opći dio'!$C$3,'Opći dio'!$L$6:$U$135,9,FALSE))</f>
        <v/>
      </c>
      <c r="C34" s="202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98"/>
      <c r="H34" s="198"/>
      <c r="I34" s="198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IF(E35="","",VLOOKUP('Opći dio'!$C$3,'Opći dio'!$L$6:$U$135,10,FALSE))</f>
        <v/>
      </c>
      <c r="B35" s="142" t="str">
        <f>IF(E35="","",VLOOKUP('Opći dio'!$C$3,'Opći dio'!$L$6:$U$135,9,FALSE))</f>
        <v/>
      </c>
      <c r="C35" s="202" t="str">
        <f t="shared" si="0"/>
        <v/>
      </c>
      <c r="D35" s="140" t="str">
        <f t="shared" si="1"/>
        <v/>
      </c>
      <c r="E35" s="153"/>
      <c r="F35" s="141" t="str">
        <f t="shared" si="2"/>
        <v/>
      </c>
      <c r="G35" s="198"/>
      <c r="H35" s="198"/>
      <c r="I35" s="198"/>
      <c r="K35" s="144" t="str">
        <f t="shared" si="3"/>
        <v/>
      </c>
      <c r="L35" s="144" t="str">
        <f t="shared" si="4"/>
        <v/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IF(E36="","",VLOOKUP('Opći dio'!$C$3,'Opći dio'!$L$6:$U$135,10,FALSE))</f>
        <v/>
      </c>
      <c r="B36" s="142" t="str">
        <f>IF(E36="","",VLOOKUP('Opći dio'!$C$3,'Opći dio'!$L$6:$U$135,9,FALSE))</f>
        <v/>
      </c>
      <c r="C36" s="202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98"/>
      <c r="H36" s="198"/>
      <c r="I36" s="198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IF(E37="","",VLOOKUP('Opći dio'!$C$3,'Opći dio'!$L$6:$U$135,10,FALSE))</f>
        <v/>
      </c>
      <c r="B37" s="142" t="str">
        <f>IF(E37="","",VLOOKUP('Opći dio'!$C$3,'Opći dio'!$L$6:$U$135,9,FALSE))</f>
        <v/>
      </c>
      <c r="C37" s="202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98"/>
      <c r="H37" s="198"/>
      <c r="I37" s="198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IF(E38="","",VLOOKUP('Opći dio'!$C$3,'Opći dio'!$L$6:$U$135,10,FALSE))</f>
        <v/>
      </c>
      <c r="B38" s="142" t="str">
        <f>IF(E38="","",VLOOKUP('Opći dio'!$C$3,'Opći dio'!$L$6:$U$135,9,FALSE))</f>
        <v/>
      </c>
      <c r="C38" s="202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98"/>
      <c r="H38" s="198"/>
      <c r="I38" s="198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IF(E39="","",VLOOKUP('Opći dio'!$C$3,'Opći dio'!$L$6:$U$135,10,FALSE))</f>
        <v/>
      </c>
      <c r="B39" s="142" t="str">
        <f>IF(E39="","",VLOOKUP('Opći dio'!$C$3,'Opći dio'!$L$6:$U$135,9,FALSE))</f>
        <v/>
      </c>
      <c r="C39" s="202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98"/>
      <c r="H39" s="198"/>
      <c r="I39" s="198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IF(E40="","",VLOOKUP('Opći dio'!$C$3,'Opći dio'!$L$6:$U$135,10,FALSE))</f>
        <v/>
      </c>
      <c r="B40" s="142" t="str">
        <f>IF(E40="","",VLOOKUP('Opći dio'!$C$3,'Opći dio'!$L$6:$U$135,9,FALSE))</f>
        <v/>
      </c>
      <c r="C40" s="202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98"/>
      <c r="H40" s="198"/>
      <c r="I40" s="198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IF(E41="","",VLOOKUP('Opći dio'!$C$3,'Opći dio'!$L$6:$U$135,10,FALSE))</f>
        <v/>
      </c>
      <c r="B41" s="142" t="str">
        <f>IF(E41="","",VLOOKUP('Opći dio'!$C$3,'Opći dio'!$L$6:$U$135,9,FALSE))</f>
        <v/>
      </c>
      <c r="C41" s="202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98"/>
      <c r="H41" s="198"/>
      <c r="I41" s="198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IF(E42="","",VLOOKUP('Opći dio'!$C$3,'Opći dio'!$L$6:$U$135,10,FALSE))</f>
        <v/>
      </c>
      <c r="B42" s="142" t="str">
        <f>IF(E42="","",VLOOKUP('Opći dio'!$C$3,'Opći dio'!$L$6:$U$135,9,FALSE))</f>
        <v/>
      </c>
      <c r="C42" s="202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98"/>
      <c r="H42" s="198"/>
      <c r="I42" s="198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/>
      </c>
      <c r="B43" s="142" t="str">
        <f>IF(E43="","",VLOOKUP('Opći dio'!$C$3,'Opći dio'!$L$6:$U$135,9,FALSE))</f>
        <v/>
      </c>
      <c r="C43" s="202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98"/>
      <c r="H43" s="198"/>
      <c r="I43" s="198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IF(E44="","",VLOOKUP('Opći dio'!$C$3,'Opći dio'!$L$6:$U$135,10,FALSE))</f>
        <v/>
      </c>
      <c r="B44" s="142" t="str">
        <f>IF(E44="","",VLOOKUP('Opći dio'!$C$3,'Opći dio'!$L$6:$U$135,9,FALSE))</f>
        <v/>
      </c>
      <c r="C44" s="202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98"/>
      <c r="H44" s="198"/>
      <c r="I44" s="198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IF(E45="","",VLOOKUP('Opći dio'!$C$3,'Opći dio'!$L$6:$U$135,10,FALSE))</f>
        <v/>
      </c>
      <c r="B45" s="142" t="str">
        <f>IF(E45="","",VLOOKUP('Opći dio'!$C$3,'Opći dio'!$L$6:$U$135,9,FALSE))</f>
        <v/>
      </c>
      <c r="C45" s="202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98"/>
      <c r="H45" s="198"/>
      <c r="I45" s="198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IF(E46="","",VLOOKUP('Opći dio'!$C$3,'Opći dio'!$L$6:$U$135,10,FALSE))</f>
        <v/>
      </c>
      <c r="B46" s="142" t="str">
        <f>IF(E46="","",VLOOKUP('Opći dio'!$C$3,'Opći dio'!$L$6:$U$135,9,FALSE))</f>
        <v/>
      </c>
      <c r="C46" s="202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98"/>
      <c r="H46" s="198"/>
      <c r="I46" s="198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IF(E47="","",VLOOKUP('Opći dio'!$C$3,'Opći dio'!$L$6:$U$135,10,FALSE))</f>
        <v/>
      </c>
      <c r="B47" s="142" t="str">
        <f>IF(E47="","",VLOOKUP('Opći dio'!$C$3,'Opći dio'!$L$6:$U$135,9,FALSE))</f>
        <v/>
      </c>
      <c r="C47" s="202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98"/>
      <c r="H47" s="198"/>
      <c r="I47" s="198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IF(E48="","",VLOOKUP('Opći dio'!$C$3,'Opći dio'!$L$6:$U$135,10,FALSE))</f>
        <v/>
      </c>
      <c r="B48" s="142" t="str">
        <f>IF(E48="","",VLOOKUP('Opći dio'!$C$3,'Opći dio'!$L$6:$U$135,9,FALSE))</f>
        <v/>
      </c>
      <c r="C48" s="202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98"/>
      <c r="H48" s="198"/>
      <c r="I48" s="198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IF(E49="","",VLOOKUP('Opći dio'!$C$3,'Opći dio'!$L$6:$U$135,10,FALSE))</f>
        <v/>
      </c>
      <c r="B49" s="142" t="str">
        <f>IF(E49="","",VLOOKUP('Opći dio'!$C$3,'Opći dio'!$L$6:$U$135,9,FALSE))</f>
        <v/>
      </c>
      <c r="C49" s="202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98"/>
      <c r="H49" s="198"/>
      <c r="I49" s="198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IF(E50="","",VLOOKUP('Opći dio'!$C$3,'Opći dio'!$L$6:$U$135,10,FALSE))</f>
        <v/>
      </c>
      <c r="B50" s="142" t="str">
        <f>IF(E50="","",VLOOKUP('Opći dio'!$C$3,'Opći dio'!$L$6:$U$135,9,FALSE))</f>
        <v/>
      </c>
      <c r="C50" s="202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98"/>
      <c r="H50" s="198"/>
      <c r="I50" s="198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IF(E51="","",VLOOKUP('Opći dio'!$C$3,'Opći dio'!$L$6:$U$135,10,FALSE))</f>
        <v/>
      </c>
      <c r="B51" s="142" t="str">
        <f>IF(E51="","",VLOOKUP('Opći dio'!$C$3,'Opći dio'!$L$6:$U$135,9,FALSE))</f>
        <v/>
      </c>
      <c r="C51" s="202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98"/>
      <c r="H51" s="198"/>
      <c r="I51" s="198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385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25" right="0.25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showGridLines="0" tabSelected="1" zoomScaleNormal="100" workbookViewId="0">
      <pane ySplit="2" topLeftCell="A36" activePane="bottomLeft" state="frozen"/>
      <selection pane="bottomLeft" activeCell="K55" sqref="K55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2" t="s">
        <v>811</v>
      </c>
      <c r="B1" s="262"/>
      <c r="C1" s="262"/>
      <c r="D1" s="262"/>
      <c r="E1" s="205" t="str">
        <f>IF('Opći dio'!C3="odaberite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846</v>
      </c>
      <c r="D2" s="146" t="s">
        <v>58</v>
      </c>
      <c r="E2" s="151" t="s">
        <v>844</v>
      </c>
      <c r="F2" s="146" t="s">
        <v>845</v>
      </c>
      <c r="G2" s="151" t="s">
        <v>847</v>
      </c>
      <c r="H2" s="146" t="s">
        <v>60</v>
      </c>
      <c r="I2" s="207" t="s">
        <v>837</v>
      </c>
      <c r="J2" s="207" t="s">
        <v>838</v>
      </c>
      <c r="K2" s="207" t="s">
        <v>839</v>
      </c>
      <c r="M2" s="147" t="s">
        <v>813</v>
      </c>
      <c r="N2" s="147" t="s">
        <v>814</v>
      </c>
    </row>
    <row r="3" spans="1:25">
      <c r="A3" s="148" t="str">
        <f>IF(C3="","",VLOOKUP('Opći dio'!$C$3,'Opći dio'!$L$6:$U$135,10,FALSE))</f>
        <v>08006</v>
      </c>
      <c r="B3" s="148" t="str">
        <f>IF(C3="","",VLOOKUP('Opći dio'!$C$3,'Opći dio'!$L$6:$U$135,9,FALSE))</f>
        <v>Sveučilišta i veleučilišta u Republici Hrvatskoj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66" si="0">IFERROR(VLOOKUP(E3,$R$5:$T$129,2,FALSE),"")</f>
        <v>Plaće za redovan rad</v>
      </c>
      <c r="G3" s="201" t="s">
        <v>82</v>
      </c>
      <c r="H3" s="149" t="str">
        <f>IFERROR(VLOOKUP(G3,$X$6:$Y$50,2,FALSE),"")</f>
        <v>REDOVNA DJELATNOST SVEUČILIŠTA U SPLITU</v>
      </c>
      <c r="I3" s="198">
        <v>7861157</v>
      </c>
      <c r="J3" s="198">
        <v>7904893</v>
      </c>
      <c r="K3" s="198">
        <v>8019733</v>
      </c>
      <c r="M3" s="144" t="str">
        <f>LEFT(E3,3)</f>
        <v>311</v>
      </c>
      <c r="N3" s="144" t="str">
        <f>LEFT(E3,2)</f>
        <v>31</v>
      </c>
    </row>
    <row r="4" spans="1:25">
      <c r="A4" s="148" t="str">
        <f>IF(C4="","",VLOOKUP('Opći dio'!$C$3,'Opći dio'!$L$6:$U$135,10,FALSE))</f>
        <v>08006</v>
      </c>
      <c r="B4" s="148" t="str">
        <f>IF(C4="","",VLOOKUP('Opći dio'!$C$3,'Opći dio'!$L$6:$U$135,9,FALSE))</f>
        <v>Sveučilišta i veleučilišta u Republici Hrvatskoj</v>
      </c>
      <c r="C4" s="154">
        <v>11</v>
      </c>
      <c r="D4" s="149" t="str">
        <f t="shared" ref="D4:D67" si="1">IFERROR(VLOOKUP(C4,$O$6:$P$16,2,FALSE),"")</f>
        <v>Opći prihodi i primici</v>
      </c>
      <c r="E4" s="154">
        <v>3121</v>
      </c>
      <c r="F4" s="149" t="str">
        <f t="shared" si="0"/>
        <v>Ostali rashodi za zaposlene</v>
      </c>
      <c r="G4" s="201" t="s">
        <v>82</v>
      </c>
      <c r="H4" s="149" t="str">
        <f t="shared" ref="H4:H67" si="2">IFERROR(VLOOKUP(G4,$X$6:$Y$50,2,FALSE),"")</f>
        <v>REDOVNA DJELATNOST SVEUČILIŠTA U SPLITU</v>
      </c>
      <c r="I4" s="198">
        <v>242132</v>
      </c>
      <c r="J4" s="198">
        <v>265000</v>
      </c>
      <c r="K4" s="198">
        <v>272000</v>
      </c>
      <c r="M4" s="144" t="str">
        <f t="shared" ref="M4:M67" si="3">LEFT(E4,3)</f>
        <v>312</v>
      </c>
      <c r="N4" s="144" t="str">
        <f t="shared" ref="N4:N67" si="4">LEFT(E4,2)</f>
        <v>31</v>
      </c>
      <c r="R4" s="150"/>
      <c r="S4" s="150"/>
    </row>
    <row r="5" spans="1:25">
      <c r="A5" s="148" t="str">
        <f>IF(C5="","",VLOOKUP('Opći dio'!$C$3,'Opći dio'!$L$6:$U$135,10,FALSE))</f>
        <v>08006</v>
      </c>
      <c r="B5" s="148" t="str">
        <f>IF(C5="","",VLOOKUP('Opći dio'!$C$3,'Opći dio'!$L$6:$U$135,9,FALSE))</f>
        <v>Sveučilišta i veleučilišta u Republici Hrvatskoj</v>
      </c>
      <c r="C5" s="154">
        <v>11</v>
      </c>
      <c r="D5" s="149" t="str">
        <f t="shared" si="1"/>
        <v>Opći prihodi i primici</v>
      </c>
      <c r="E5" s="154">
        <v>3132</v>
      </c>
      <c r="F5" s="149" t="str">
        <f t="shared" si="0"/>
        <v>Doprinosi za obvezno zdravstveno osiguranje</v>
      </c>
      <c r="G5" s="201" t="s">
        <v>82</v>
      </c>
      <c r="H5" s="149" t="str">
        <f t="shared" si="2"/>
        <v>REDOVNA DJELATNOST SVEUČILIŠTA U SPLITU</v>
      </c>
      <c r="I5" s="198">
        <v>1297091</v>
      </c>
      <c r="J5" s="198">
        <v>1304307</v>
      </c>
      <c r="K5" s="198">
        <v>1323255</v>
      </c>
      <c r="M5" s="144" t="str">
        <f t="shared" si="3"/>
        <v>313</v>
      </c>
      <c r="N5" s="144" t="str">
        <f t="shared" si="4"/>
        <v>31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5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str">
        <f>IF(C6="","",VLOOKUP('Opći dio'!$C$3,'Opći dio'!$L$6:$U$135,10,FALSE))</f>
        <v>08006</v>
      </c>
      <c r="B6" s="148" t="str">
        <f>IF(C6="","",VLOOKUP('Opći dio'!$C$3,'Opći dio'!$L$6:$U$135,9,FALSE))</f>
        <v>Sveučilišta i veleučilišta u Republici Hrvatskoj</v>
      </c>
      <c r="C6" s="154">
        <v>11</v>
      </c>
      <c r="D6" s="149" t="str">
        <f t="shared" si="1"/>
        <v>Opći prihodi i primici</v>
      </c>
      <c r="E6" s="154">
        <v>3212</v>
      </c>
      <c r="F6" s="149" t="str">
        <f t="shared" si="0"/>
        <v>Naknade za prijevoz, za rad na terenu i odvojeni život</v>
      </c>
      <c r="G6" s="201" t="s">
        <v>82</v>
      </c>
      <c r="H6" s="149" t="str">
        <f t="shared" si="2"/>
        <v>REDOVNA DJELATNOST SVEUČILIŠTA U SPLITU</v>
      </c>
      <c r="I6" s="198">
        <v>114382</v>
      </c>
      <c r="J6" s="198">
        <v>121000</v>
      </c>
      <c r="K6" s="198">
        <v>125000</v>
      </c>
      <c r="M6" s="144" t="str">
        <f t="shared" si="3"/>
        <v>321</v>
      </c>
      <c r="N6" s="144" t="str">
        <f t="shared" si="4"/>
        <v>32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5"/>
        <v>31</v>
      </c>
      <c r="V6" s="144" t="str">
        <f t="shared" ref="V6:V9" si="6">LEFT(R6,3)</f>
        <v>311</v>
      </c>
      <c r="X6" s="144" t="s">
        <v>67</v>
      </c>
      <c r="Y6" s="144" t="s">
        <v>68</v>
      </c>
    </row>
    <row r="7" spans="1:25">
      <c r="A7" s="148" t="str">
        <f>IF(C7="","",VLOOKUP('Opći dio'!$C$3,'Opći dio'!$L$6:$U$135,10,FALSE))</f>
        <v>08006</v>
      </c>
      <c r="B7" s="148" t="str">
        <f>IF(C7="","",VLOOKUP('Opći dio'!$C$3,'Opći dio'!$L$6:$U$135,9,FALSE))</f>
        <v>Sveučilišta i veleučilišta u Republici Hrvatskoj</v>
      </c>
      <c r="C7" s="154">
        <v>11</v>
      </c>
      <c r="D7" s="149" t="str">
        <f t="shared" si="1"/>
        <v>Opći prihodi i primici</v>
      </c>
      <c r="E7" s="154">
        <v>3236</v>
      </c>
      <c r="F7" s="149" t="str">
        <f t="shared" si="0"/>
        <v>Zdravstvene i veterinarske usluge</v>
      </c>
      <c r="G7" s="201" t="s">
        <v>82</v>
      </c>
      <c r="H7" s="149" t="str">
        <f t="shared" si="2"/>
        <v>REDOVNA DJELATNOST SVEUČILIŠTA U SPLITU</v>
      </c>
      <c r="I7" s="198">
        <v>15500</v>
      </c>
      <c r="J7" s="198">
        <v>16500</v>
      </c>
      <c r="K7" s="198">
        <v>17500</v>
      </c>
      <c r="M7" s="144" t="str">
        <f t="shared" si="3"/>
        <v>323</v>
      </c>
      <c r="N7" s="144" t="str">
        <f t="shared" si="4"/>
        <v>32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5"/>
        <v>31</v>
      </c>
      <c r="V7" s="144" t="str">
        <f t="shared" si="6"/>
        <v>311</v>
      </c>
      <c r="X7" s="144" t="s">
        <v>77</v>
      </c>
      <c r="Y7" s="144" t="s">
        <v>78</v>
      </c>
    </row>
    <row r="8" spans="1:25">
      <c r="A8" s="148" t="str">
        <f>IF(C8="","",VLOOKUP('Opći dio'!$C$3,'Opći dio'!$L$6:$U$135,10,FALSE))</f>
        <v>08006</v>
      </c>
      <c r="B8" s="148" t="str">
        <f>IF(C8="","",VLOOKUP('Opći dio'!$C$3,'Opći dio'!$L$6:$U$135,9,FALSE))</f>
        <v>Sveučilišta i veleučilišta u Republici Hrvatskoj</v>
      </c>
      <c r="C8" s="154">
        <v>11</v>
      </c>
      <c r="D8" s="149" t="str">
        <f t="shared" si="1"/>
        <v>Opći prihodi i primici</v>
      </c>
      <c r="E8" s="154">
        <v>3295</v>
      </c>
      <c r="F8" s="149" t="str">
        <f t="shared" si="0"/>
        <v>Pristojbe i naknade</v>
      </c>
      <c r="G8" s="201" t="s">
        <v>82</v>
      </c>
      <c r="H8" s="149" t="str">
        <f t="shared" si="2"/>
        <v>REDOVNA DJELATNOST SVEUČILIŠTA U SPLITU</v>
      </c>
      <c r="I8" s="198">
        <v>27000</v>
      </c>
      <c r="J8" s="198">
        <v>28500</v>
      </c>
      <c r="K8" s="198">
        <v>30000</v>
      </c>
      <c r="M8" s="144" t="str">
        <f t="shared" si="3"/>
        <v>329</v>
      </c>
      <c r="N8" s="144" t="str">
        <f t="shared" si="4"/>
        <v>32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5"/>
        <v>31</v>
      </c>
      <c r="V8" s="144" t="str">
        <f t="shared" si="6"/>
        <v>311</v>
      </c>
      <c r="X8" s="144" t="s">
        <v>80</v>
      </c>
      <c r="Y8" s="144" t="s">
        <v>81</v>
      </c>
    </row>
    <row r="9" spans="1:25">
      <c r="A9" s="148" t="str">
        <f>IF(C9="","",VLOOKUP('Opći dio'!$C$3,'Opći dio'!$L$6:$U$135,10,FALSE))</f>
        <v>08006</v>
      </c>
      <c r="B9" s="148" t="str">
        <f>IF(C9="","",VLOOKUP('Opći dio'!$C$3,'Opći dio'!$L$6:$U$135,9,FALSE))</f>
        <v>Sveučilišta i veleučilišta u Republici Hrvatskoj</v>
      </c>
      <c r="C9" s="154">
        <v>31</v>
      </c>
      <c r="D9" s="149" t="str">
        <f t="shared" si="1"/>
        <v>Vlastiti prihodi</v>
      </c>
      <c r="E9" s="154">
        <v>3111</v>
      </c>
      <c r="F9" s="149" t="str">
        <f t="shared" si="0"/>
        <v>Plaće za redovan rad</v>
      </c>
      <c r="G9" s="201" t="s">
        <v>200</v>
      </c>
      <c r="H9" s="149" t="str">
        <f t="shared" si="2"/>
        <v>REDOVNA DJELATNOST SVEUČILIŠTA U SPLITU (IZ EVIDENCIJSKIH PRIHODA)</v>
      </c>
      <c r="I9" s="198">
        <v>90000</v>
      </c>
      <c r="J9" s="198">
        <v>76000</v>
      </c>
      <c r="K9" s="198">
        <v>94000</v>
      </c>
      <c r="M9" s="144" t="str">
        <f t="shared" si="3"/>
        <v>311</v>
      </c>
      <c r="N9" s="144" t="str">
        <f t="shared" si="4"/>
        <v>31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5"/>
        <v>31</v>
      </c>
      <c r="V9" s="144" t="str">
        <f t="shared" si="6"/>
        <v>312</v>
      </c>
      <c r="X9" s="144" t="s">
        <v>82</v>
      </c>
      <c r="Y9" s="144" t="s">
        <v>83</v>
      </c>
    </row>
    <row r="10" spans="1:25">
      <c r="A10" s="148" t="str">
        <f>IF(C10="","",VLOOKUP('Opći dio'!$C$3,'Opći dio'!$L$6:$U$135,10,FALSE))</f>
        <v>08006</v>
      </c>
      <c r="B10" s="148" t="str">
        <f>IF(C10="","",VLOOKUP('Opći dio'!$C$3,'Opći dio'!$L$6:$U$135,9,FALSE))</f>
        <v>Sveučilišta i veleučilišta u Republici Hrvatskoj</v>
      </c>
      <c r="C10" s="154">
        <v>31</v>
      </c>
      <c r="D10" s="149" t="str">
        <f t="shared" si="1"/>
        <v>Vlastiti prihodi</v>
      </c>
      <c r="E10" s="154">
        <v>3121</v>
      </c>
      <c r="F10" s="149" t="str">
        <f t="shared" si="0"/>
        <v>Ostali rashodi za zaposlene</v>
      </c>
      <c r="G10" s="201" t="s">
        <v>200</v>
      </c>
      <c r="H10" s="149" t="str">
        <f t="shared" si="2"/>
        <v>REDOVNA DJELATNOST SVEUČILIŠTA U SPLITU (IZ EVIDENCIJSKIH PRIHODA)</v>
      </c>
      <c r="I10" s="198">
        <v>20000</v>
      </c>
      <c r="J10" s="198">
        <v>20000</v>
      </c>
      <c r="K10" s="198">
        <v>20000</v>
      </c>
      <c r="M10" s="144" t="str">
        <f t="shared" si="3"/>
        <v>312</v>
      </c>
      <c r="N10" s="144" t="str">
        <f t="shared" si="4"/>
        <v>31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7">LEFT(R10,2)</f>
        <v>31</v>
      </c>
      <c r="V10" s="212" t="str">
        <f t="shared" ref="V10:V41" si="8">LEFT(R10,3)</f>
        <v>313</v>
      </c>
      <c r="X10" s="144" t="s">
        <v>87</v>
      </c>
      <c r="Y10" s="144" t="s">
        <v>88</v>
      </c>
    </row>
    <row r="11" spans="1:25">
      <c r="A11" s="148" t="str">
        <f>IF(C11="","",VLOOKUP('Opći dio'!$C$3,'Opći dio'!$L$6:$U$135,10,FALSE))</f>
        <v>08006</v>
      </c>
      <c r="B11" s="148" t="str">
        <f>IF(C11="","",VLOOKUP('Opći dio'!$C$3,'Opći dio'!$L$6:$U$135,9,FALSE))</f>
        <v>Sveučilišta i veleučilišta u Republici Hrvatskoj</v>
      </c>
      <c r="C11" s="154">
        <v>31</v>
      </c>
      <c r="D11" s="149" t="str">
        <f t="shared" si="1"/>
        <v>Vlastiti prihodi</v>
      </c>
      <c r="E11" s="154">
        <v>3132</v>
      </c>
      <c r="F11" s="149" t="str">
        <f t="shared" si="0"/>
        <v>Doprinosi za obvezno zdravstveno osiguranje</v>
      </c>
      <c r="G11" s="201" t="s">
        <v>200</v>
      </c>
      <c r="H11" s="149" t="str">
        <f t="shared" si="2"/>
        <v>REDOVNA DJELATNOST SVEUČILIŠTA U SPLITU (IZ EVIDENCIJSKIH PRIHODA)</v>
      </c>
      <c r="I11" s="198">
        <v>14850</v>
      </c>
      <c r="J11" s="198">
        <v>12540</v>
      </c>
      <c r="K11" s="198">
        <v>15510</v>
      </c>
      <c r="M11" s="144" t="str">
        <f t="shared" si="3"/>
        <v>313</v>
      </c>
      <c r="N11" s="144" t="str">
        <f t="shared" si="4"/>
        <v>31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7"/>
        <v>32</v>
      </c>
      <c r="V11" s="144" t="str">
        <f t="shared" si="8"/>
        <v>321</v>
      </c>
      <c r="X11" s="144" t="s">
        <v>89</v>
      </c>
      <c r="Y11" s="144" t="s">
        <v>90</v>
      </c>
    </row>
    <row r="12" spans="1:25">
      <c r="A12" s="148" t="str">
        <f>IF(C12="","",VLOOKUP('Opći dio'!$C$3,'Opći dio'!$L$6:$U$135,10,FALSE))</f>
        <v>08006</v>
      </c>
      <c r="B12" s="148" t="str">
        <f>IF(C12="","",VLOOKUP('Opći dio'!$C$3,'Opći dio'!$L$6:$U$135,9,FALSE))</f>
        <v>Sveučilišta i veleučilišta u Republici Hrvatskoj</v>
      </c>
      <c r="C12" s="154">
        <v>52</v>
      </c>
      <c r="D12" s="149" t="str">
        <f t="shared" si="1"/>
        <v>Ostale pomoći</v>
      </c>
      <c r="E12" s="154">
        <v>3211</v>
      </c>
      <c r="F12" s="149" t="str">
        <f t="shared" si="0"/>
        <v>Službena putovanja</v>
      </c>
      <c r="G12" s="201" t="s">
        <v>200</v>
      </c>
      <c r="H12" s="149" t="str">
        <f t="shared" si="2"/>
        <v>REDOVNA DJELATNOST SVEUČILIŠTA U SPLITU (IZ EVIDENCIJSKIH PRIHODA)</v>
      </c>
      <c r="I12" s="198">
        <v>62544</v>
      </c>
      <c r="J12" s="198">
        <v>73774</v>
      </c>
      <c r="K12" s="198">
        <v>84041</v>
      </c>
      <c r="M12" s="144" t="str">
        <f t="shared" si="3"/>
        <v>321</v>
      </c>
      <c r="N12" s="144" t="str">
        <f t="shared" si="4"/>
        <v>32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7"/>
        <v>32</v>
      </c>
      <c r="V12" s="144" t="str">
        <f t="shared" si="8"/>
        <v>321</v>
      </c>
      <c r="X12" s="144" t="s">
        <v>91</v>
      </c>
      <c r="Y12" s="144" t="s">
        <v>92</v>
      </c>
    </row>
    <row r="13" spans="1:25">
      <c r="A13" s="148" t="str">
        <f>IF(C13="","",VLOOKUP('Opći dio'!$C$3,'Opći dio'!$L$6:$U$135,10,FALSE))</f>
        <v>08006</v>
      </c>
      <c r="B13" s="148" t="str">
        <f>IF(C13="","",VLOOKUP('Opći dio'!$C$3,'Opći dio'!$L$6:$U$135,9,FALSE))</f>
        <v>Sveučilišta i veleučilišta u Republici Hrvatskoj</v>
      </c>
      <c r="C13" s="154">
        <v>52</v>
      </c>
      <c r="D13" s="149" t="str">
        <f t="shared" si="1"/>
        <v>Ostale pomoći</v>
      </c>
      <c r="E13" s="154">
        <v>3211</v>
      </c>
      <c r="F13" s="149" t="str">
        <f t="shared" si="0"/>
        <v>Službena putovanja</v>
      </c>
      <c r="G13" s="201" t="s">
        <v>864</v>
      </c>
      <c r="H13" s="149" t="str">
        <f t="shared" si="2"/>
        <v>PROGRAMSKO FINANCIRANJE JAVNIH VISOKIH UČILIŠTA</v>
      </c>
      <c r="I13" s="198">
        <v>15000</v>
      </c>
      <c r="J13" s="198">
        <v>16000</v>
      </c>
      <c r="K13" s="198">
        <v>17000</v>
      </c>
      <c r="M13" s="144" t="str">
        <f t="shared" si="3"/>
        <v>321</v>
      </c>
      <c r="N13" s="144" t="str">
        <f t="shared" si="4"/>
        <v>32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7"/>
        <v>32</v>
      </c>
      <c r="V13" s="144" t="str">
        <f t="shared" si="8"/>
        <v>321</v>
      </c>
      <c r="X13" s="144" t="s">
        <v>94</v>
      </c>
      <c r="Y13" s="144" t="s">
        <v>95</v>
      </c>
    </row>
    <row r="14" spans="1:25">
      <c r="A14" s="148" t="str">
        <f>IF(C14="","",VLOOKUP('Opći dio'!$C$3,'Opći dio'!$L$6:$U$135,10,FALSE))</f>
        <v>08006</v>
      </c>
      <c r="B14" s="148" t="str">
        <f>IF(C14="","",VLOOKUP('Opći dio'!$C$3,'Opći dio'!$L$6:$U$135,9,FALSE))</f>
        <v>Sveučilišta i veleučilišta u Republici Hrvatskoj</v>
      </c>
      <c r="C14" s="154">
        <v>52</v>
      </c>
      <c r="D14" s="149" t="str">
        <f t="shared" si="1"/>
        <v>Ostale pomoći</v>
      </c>
      <c r="E14" s="154">
        <v>3213</v>
      </c>
      <c r="F14" s="149" t="str">
        <f t="shared" si="0"/>
        <v>Stručno usavršavanje zaposlenika</v>
      </c>
      <c r="G14" s="201" t="s">
        <v>864</v>
      </c>
      <c r="H14" s="149" t="str">
        <f t="shared" si="2"/>
        <v>PROGRAMSKO FINANCIRANJE JAVNIH VISOKIH UČILIŠTA</v>
      </c>
      <c r="I14" s="198">
        <v>15000</v>
      </c>
      <c r="J14" s="198">
        <v>16000</v>
      </c>
      <c r="K14" s="198">
        <v>18000</v>
      </c>
      <c r="M14" s="144" t="str">
        <f t="shared" si="3"/>
        <v>321</v>
      </c>
      <c r="N14" s="144" t="str">
        <f t="shared" si="4"/>
        <v>32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7"/>
        <v>32</v>
      </c>
      <c r="V14" s="144" t="str">
        <f t="shared" si="8"/>
        <v>321</v>
      </c>
      <c r="X14" s="144" t="s">
        <v>162</v>
      </c>
      <c r="Y14" s="144" t="s">
        <v>163</v>
      </c>
    </row>
    <row r="15" spans="1:25">
      <c r="A15" s="148" t="str">
        <f>IF(C15="","",VLOOKUP('Opći dio'!$C$3,'Opći dio'!$L$6:$U$135,10,FALSE))</f>
        <v>08006</v>
      </c>
      <c r="B15" s="148" t="str">
        <f>IF(C15="","",VLOOKUP('Opći dio'!$C$3,'Opći dio'!$L$6:$U$135,9,FALSE))</f>
        <v>Sveučilišta i veleučilišta u Republici Hrvatskoj</v>
      </c>
      <c r="C15" s="154">
        <v>52</v>
      </c>
      <c r="D15" s="149" t="str">
        <f t="shared" si="1"/>
        <v>Ostale pomoći</v>
      </c>
      <c r="E15" s="154">
        <v>3221</v>
      </c>
      <c r="F15" s="149" t="str">
        <f t="shared" si="0"/>
        <v>Uredski materijal i ostali materijalni rashodi</v>
      </c>
      <c r="G15" s="201" t="s">
        <v>864</v>
      </c>
      <c r="H15" s="149" t="str">
        <f t="shared" si="2"/>
        <v>PROGRAMSKO FINANCIRANJE JAVNIH VISOKIH UČILIŠTA</v>
      </c>
      <c r="I15" s="198">
        <v>70507</v>
      </c>
      <c r="J15" s="198">
        <v>71000</v>
      </c>
      <c r="K15" s="198">
        <v>71200</v>
      </c>
      <c r="M15" s="144" t="str">
        <f t="shared" si="3"/>
        <v>322</v>
      </c>
      <c r="N15" s="144" t="str">
        <f t="shared" si="4"/>
        <v>32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7"/>
        <v>32</v>
      </c>
      <c r="V15" s="144" t="str">
        <f t="shared" si="8"/>
        <v>322</v>
      </c>
      <c r="X15" s="144" t="s">
        <v>862</v>
      </c>
      <c r="Y15" s="144" t="s">
        <v>863</v>
      </c>
    </row>
    <row r="16" spans="1:25">
      <c r="A16" s="148" t="str">
        <f>IF(C16="","",VLOOKUP('Opći dio'!$C$3,'Opći dio'!$L$6:$U$135,10,FALSE))</f>
        <v>08006</v>
      </c>
      <c r="B16" s="148" t="str">
        <f>IF(C16="","",VLOOKUP('Opći dio'!$C$3,'Opći dio'!$L$6:$U$135,9,FALSE))</f>
        <v>Sveučilišta i veleučilišta u Republici Hrvatskoj</v>
      </c>
      <c r="C16" s="154">
        <v>52</v>
      </c>
      <c r="D16" s="149" t="str">
        <f t="shared" si="1"/>
        <v>Ostale pomoći</v>
      </c>
      <c r="E16" s="154">
        <v>3223</v>
      </c>
      <c r="F16" s="149" t="str">
        <f t="shared" si="0"/>
        <v>Energija</v>
      </c>
      <c r="G16" s="201" t="s">
        <v>864</v>
      </c>
      <c r="H16" s="149" t="str">
        <f t="shared" si="2"/>
        <v>PROGRAMSKO FINANCIRANJE JAVNIH VISOKIH UČILIŠTA</v>
      </c>
      <c r="I16" s="198">
        <v>70000</v>
      </c>
      <c r="J16" s="198">
        <v>72000</v>
      </c>
      <c r="K16" s="198">
        <v>72100</v>
      </c>
      <c r="M16" s="144" t="str">
        <f t="shared" si="3"/>
        <v>322</v>
      </c>
      <c r="N16" s="144" t="str">
        <f t="shared" si="4"/>
        <v>32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7"/>
        <v>32</v>
      </c>
      <c r="V16" s="144" t="str">
        <f t="shared" si="8"/>
        <v>322</v>
      </c>
      <c r="X16" s="144" t="s">
        <v>864</v>
      </c>
      <c r="Y16" s="144" t="s">
        <v>865</v>
      </c>
    </row>
    <row r="17" spans="1:25">
      <c r="A17" s="148" t="str">
        <f>IF(C17="","",VLOOKUP('Opći dio'!$C$3,'Opći dio'!$L$6:$U$135,10,FALSE))</f>
        <v>08006</v>
      </c>
      <c r="B17" s="148" t="str">
        <f>IF(C17="","",VLOOKUP('Opći dio'!$C$3,'Opći dio'!$L$6:$U$135,9,FALSE))</f>
        <v>Sveučilišta i veleučilišta u Republici Hrvatskoj</v>
      </c>
      <c r="C17" s="154">
        <v>52</v>
      </c>
      <c r="D17" s="149" t="str">
        <f t="shared" si="1"/>
        <v>Ostale pomoći</v>
      </c>
      <c r="E17" s="154">
        <v>3224</v>
      </c>
      <c r="F17" s="149" t="str">
        <f t="shared" si="0"/>
        <v>Materijal i dijelovi za tekuće i investicijsko održavanje</v>
      </c>
      <c r="G17" s="201" t="s">
        <v>864</v>
      </c>
      <c r="H17" s="149" t="str">
        <f t="shared" si="2"/>
        <v>PROGRAMSKO FINANCIRANJE JAVNIH VISOKIH UČILIŠTA</v>
      </c>
      <c r="I17" s="198">
        <v>10000</v>
      </c>
      <c r="J17" s="198">
        <v>20000</v>
      </c>
      <c r="K17" s="198">
        <v>22000</v>
      </c>
      <c r="M17" s="144" t="str">
        <f t="shared" si="3"/>
        <v>322</v>
      </c>
      <c r="N17" s="144" t="str">
        <f t="shared" si="4"/>
        <v>32</v>
      </c>
      <c r="R17" s="144">
        <v>3223</v>
      </c>
      <c r="S17" s="144" t="s">
        <v>107</v>
      </c>
      <c r="U17" s="144" t="str">
        <f t="shared" si="7"/>
        <v>32</v>
      </c>
      <c r="V17" s="144" t="str">
        <f t="shared" si="8"/>
        <v>322</v>
      </c>
      <c r="X17" s="144" t="s">
        <v>866</v>
      </c>
      <c r="Y17" s="144" t="s">
        <v>867</v>
      </c>
    </row>
    <row r="18" spans="1:25">
      <c r="A18" s="148" t="str">
        <f>IF(C18="","",VLOOKUP('Opći dio'!$C$3,'Opći dio'!$L$6:$U$135,10,FALSE))</f>
        <v>08006</v>
      </c>
      <c r="B18" s="148" t="str">
        <f>IF(C18="","",VLOOKUP('Opći dio'!$C$3,'Opći dio'!$L$6:$U$135,9,FALSE))</f>
        <v>Sveučilišta i veleučilišta u Republici Hrvatskoj</v>
      </c>
      <c r="C18" s="154">
        <v>52</v>
      </c>
      <c r="D18" s="149" t="str">
        <f t="shared" si="1"/>
        <v>Ostale pomoći</v>
      </c>
      <c r="E18" s="154">
        <v>3225</v>
      </c>
      <c r="F18" s="149" t="str">
        <f t="shared" si="0"/>
        <v>Sitni inventar i auto gume</v>
      </c>
      <c r="G18" s="201" t="s">
        <v>864</v>
      </c>
      <c r="H18" s="149" t="str">
        <f t="shared" si="2"/>
        <v>PROGRAMSKO FINANCIRANJE JAVNIH VISOKIH UČILIŠTA</v>
      </c>
      <c r="I18" s="198">
        <v>15000</v>
      </c>
      <c r="J18" s="198">
        <v>18000</v>
      </c>
      <c r="K18" s="198">
        <v>21000</v>
      </c>
      <c r="M18" s="144" t="str">
        <f t="shared" si="3"/>
        <v>322</v>
      </c>
      <c r="N18" s="144" t="str">
        <f t="shared" si="4"/>
        <v>32</v>
      </c>
      <c r="R18" s="144">
        <v>3224</v>
      </c>
      <c r="S18" s="144" t="s">
        <v>112</v>
      </c>
      <c r="U18" s="144" t="str">
        <f t="shared" si="7"/>
        <v>32</v>
      </c>
      <c r="V18" s="144" t="str">
        <f t="shared" si="8"/>
        <v>322</v>
      </c>
      <c r="X18" s="144" t="s">
        <v>868</v>
      </c>
      <c r="Y18" s="144" t="s">
        <v>869</v>
      </c>
    </row>
    <row r="19" spans="1:25">
      <c r="A19" s="148" t="str">
        <f>IF(C19="","",VLOOKUP('Opći dio'!$C$3,'Opći dio'!$L$6:$U$135,10,FALSE))</f>
        <v>08006</v>
      </c>
      <c r="B19" s="148" t="str">
        <f>IF(C19="","",VLOOKUP('Opći dio'!$C$3,'Opći dio'!$L$6:$U$135,9,FALSE))</f>
        <v>Sveučilišta i veleučilišta u Republici Hrvatskoj</v>
      </c>
      <c r="C19" s="154">
        <v>52</v>
      </c>
      <c r="D19" s="149" t="str">
        <f t="shared" si="1"/>
        <v>Ostale pomoći</v>
      </c>
      <c r="E19" s="154">
        <v>3227</v>
      </c>
      <c r="F19" s="149" t="str">
        <f t="shared" si="0"/>
        <v>Službena, radna i zaštitna odjeća i obuća</v>
      </c>
      <c r="G19" s="201" t="s">
        <v>864</v>
      </c>
      <c r="H19" s="149" t="str">
        <f t="shared" si="2"/>
        <v>PROGRAMSKO FINANCIRANJE JAVNIH VISOKIH UČILIŠTA</v>
      </c>
      <c r="I19" s="198">
        <v>5000</v>
      </c>
      <c r="J19" s="198">
        <v>5000</v>
      </c>
      <c r="K19" s="198">
        <v>2000</v>
      </c>
      <c r="M19" s="144" t="str">
        <f t="shared" si="3"/>
        <v>322</v>
      </c>
      <c r="N19" s="144" t="str">
        <f t="shared" si="4"/>
        <v>32</v>
      </c>
      <c r="R19" s="144">
        <v>3225</v>
      </c>
      <c r="S19" s="144" t="s">
        <v>120</v>
      </c>
      <c r="U19" s="144" t="str">
        <f t="shared" si="7"/>
        <v>32</v>
      </c>
      <c r="V19" s="144" t="str">
        <f t="shared" si="8"/>
        <v>322</v>
      </c>
      <c r="X19" s="144" t="s">
        <v>870</v>
      </c>
      <c r="Y19" s="144" t="s">
        <v>871</v>
      </c>
    </row>
    <row r="20" spans="1:25">
      <c r="A20" s="148" t="str">
        <f>IF(C20="","",VLOOKUP('Opći dio'!$C$3,'Opći dio'!$L$6:$U$135,10,FALSE))</f>
        <v>08006</v>
      </c>
      <c r="B20" s="148" t="str">
        <f>IF(C20="","",VLOOKUP('Opći dio'!$C$3,'Opći dio'!$L$6:$U$135,9,FALSE))</f>
        <v>Sveučilišta i veleučilišta u Republici Hrvatskoj</v>
      </c>
      <c r="C20" s="154">
        <v>52</v>
      </c>
      <c r="D20" s="149" t="str">
        <f t="shared" si="1"/>
        <v>Ostale pomoći</v>
      </c>
      <c r="E20" s="154">
        <v>3231</v>
      </c>
      <c r="F20" s="149" t="str">
        <f t="shared" si="0"/>
        <v>Usluge telefona, pošte i prijevoza</v>
      </c>
      <c r="G20" s="201" t="s">
        <v>864</v>
      </c>
      <c r="H20" s="149" t="str">
        <f t="shared" si="2"/>
        <v>PROGRAMSKO FINANCIRANJE JAVNIH VISOKIH UČILIŠTA</v>
      </c>
      <c r="I20" s="198">
        <v>60000</v>
      </c>
      <c r="J20" s="198">
        <v>63000</v>
      </c>
      <c r="K20" s="198">
        <v>63500</v>
      </c>
      <c r="M20" s="144" t="str">
        <f t="shared" si="3"/>
        <v>323</v>
      </c>
      <c r="N20" s="144" t="str">
        <f t="shared" si="4"/>
        <v>32</v>
      </c>
      <c r="R20" s="144">
        <v>3226</v>
      </c>
      <c r="S20" s="144" t="s">
        <v>195</v>
      </c>
      <c r="U20" s="144" t="str">
        <f t="shared" si="7"/>
        <v>32</v>
      </c>
      <c r="V20" s="144" t="str">
        <f t="shared" si="8"/>
        <v>322</v>
      </c>
      <c r="X20" s="144" t="s">
        <v>872</v>
      </c>
      <c r="Y20" s="144" t="s">
        <v>873</v>
      </c>
    </row>
    <row r="21" spans="1:25">
      <c r="A21" s="148" t="str">
        <f>IF(C21="","",VLOOKUP('Opći dio'!$C$3,'Opći dio'!$L$6:$U$135,10,FALSE))</f>
        <v>08006</v>
      </c>
      <c r="B21" s="148" t="str">
        <f>IF(C21="","",VLOOKUP('Opći dio'!$C$3,'Opći dio'!$L$6:$U$135,9,FALSE))</f>
        <v>Sveučilišta i veleučilišta u Republici Hrvatskoj</v>
      </c>
      <c r="C21" s="154">
        <v>52</v>
      </c>
      <c r="D21" s="149" t="str">
        <f t="shared" si="1"/>
        <v>Ostale pomoći</v>
      </c>
      <c r="E21" s="154">
        <v>3232</v>
      </c>
      <c r="F21" s="149" t="str">
        <f t="shared" si="0"/>
        <v>Usluge tekućeg i investicijskog održavanja</v>
      </c>
      <c r="G21" s="201" t="s">
        <v>864</v>
      </c>
      <c r="H21" s="149" t="str">
        <f t="shared" si="2"/>
        <v>PROGRAMSKO FINANCIRANJE JAVNIH VISOKIH UČILIŠTA</v>
      </c>
      <c r="I21" s="198">
        <v>20000</v>
      </c>
      <c r="J21" s="198">
        <v>21000</v>
      </c>
      <c r="K21" s="198">
        <v>21000</v>
      </c>
      <c r="M21" s="144" t="str">
        <f t="shared" si="3"/>
        <v>323</v>
      </c>
      <c r="N21" s="144" t="str">
        <f t="shared" si="4"/>
        <v>32</v>
      </c>
      <c r="R21" s="144">
        <v>3227</v>
      </c>
      <c r="S21" s="144" t="s">
        <v>137</v>
      </c>
      <c r="U21" s="144" t="str">
        <f t="shared" si="7"/>
        <v>32</v>
      </c>
      <c r="V21" s="144" t="str">
        <f t="shared" si="8"/>
        <v>322</v>
      </c>
      <c r="X21" s="144" t="s">
        <v>111</v>
      </c>
      <c r="Y21" s="144" t="s">
        <v>874</v>
      </c>
    </row>
    <row r="22" spans="1:25">
      <c r="A22" s="148" t="str">
        <f>IF(C22="","",VLOOKUP('Opći dio'!$C$3,'Opći dio'!$L$6:$U$135,10,FALSE))</f>
        <v>08006</v>
      </c>
      <c r="B22" s="148" t="str">
        <f>IF(C22="","",VLOOKUP('Opći dio'!$C$3,'Opći dio'!$L$6:$U$135,9,FALSE))</f>
        <v>Sveučilišta i veleučilišta u Republici Hrvatskoj</v>
      </c>
      <c r="C22" s="154">
        <v>52</v>
      </c>
      <c r="D22" s="149" t="str">
        <f t="shared" si="1"/>
        <v>Ostale pomoći</v>
      </c>
      <c r="E22" s="154">
        <v>3233</v>
      </c>
      <c r="F22" s="149" t="str">
        <f t="shared" si="0"/>
        <v>Usluge promidžbe i informiranja</v>
      </c>
      <c r="G22" s="201" t="s">
        <v>864</v>
      </c>
      <c r="H22" s="149" t="str">
        <f t="shared" si="2"/>
        <v>PROGRAMSKO FINANCIRANJE JAVNIH VISOKIH UČILIŠTA</v>
      </c>
      <c r="I22" s="198">
        <v>15000</v>
      </c>
      <c r="J22" s="198">
        <v>15000</v>
      </c>
      <c r="K22" s="198">
        <v>15800</v>
      </c>
      <c r="M22" s="144" t="str">
        <f t="shared" si="3"/>
        <v>323</v>
      </c>
      <c r="N22" s="144" t="str">
        <f t="shared" si="4"/>
        <v>32</v>
      </c>
      <c r="R22" s="144">
        <v>3231</v>
      </c>
      <c r="S22" s="144" t="s">
        <v>121</v>
      </c>
      <c r="U22" s="144" t="str">
        <f t="shared" si="7"/>
        <v>32</v>
      </c>
      <c r="V22" s="144" t="str">
        <f t="shared" si="8"/>
        <v>323</v>
      </c>
      <c r="X22" s="144" t="s">
        <v>136</v>
      </c>
      <c r="Y22" s="144" t="s">
        <v>875</v>
      </c>
    </row>
    <row r="23" spans="1:25">
      <c r="A23" s="148" t="str">
        <f>IF(C23="","",VLOOKUP('Opći dio'!$C$3,'Opći dio'!$L$6:$U$135,10,FALSE))</f>
        <v>08006</v>
      </c>
      <c r="B23" s="148" t="str">
        <f>IF(C23="","",VLOOKUP('Opći dio'!$C$3,'Opći dio'!$L$6:$U$135,9,FALSE))</f>
        <v>Sveučilišta i veleučilišta u Republici Hrvatskoj</v>
      </c>
      <c r="C23" s="154">
        <v>52</v>
      </c>
      <c r="D23" s="149" t="str">
        <f t="shared" si="1"/>
        <v>Ostale pomoći</v>
      </c>
      <c r="E23" s="154">
        <v>3234</v>
      </c>
      <c r="F23" s="149" t="str">
        <f t="shared" si="0"/>
        <v>Komunalne usluge</v>
      </c>
      <c r="G23" s="201" t="s">
        <v>864</v>
      </c>
      <c r="H23" s="149" t="str">
        <f t="shared" si="2"/>
        <v>PROGRAMSKO FINANCIRANJE JAVNIH VISOKIH UČILIŠTA</v>
      </c>
      <c r="I23" s="198">
        <v>20000</v>
      </c>
      <c r="J23" s="198">
        <v>20000</v>
      </c>
      <c r="K23" s="198">
        <v>20000</v>
      </c>
      <c r="M23" s="144" t="str">
        <f t="shared" si="3"/>
        <v>323</v>
      </c>
      <c r="N23" s="144" t="str">
        <f t="shared" si="4"/>
        <v>32</v>
      </c>
      <c r="R23" s="144">
        <v>3232</v>
      </c>
      <c r="S23" s="144" t="s">
        <v>108</v>
      </c>
      <c r="U23" s="144" t="str">
        <f t="shared" si="7"/>
        <v>32</v>
      </c>
      <c r="V23" s="144" t="str">
        <f t="shared" si="8"/>
        <v>323</v>
      </c>
      <c r="X23" s="144" t="s">
        <v>142</v>
      </c>
      <c r="Y23" s="144" t="s">
        <v>876</v>
      </c>
    </row>
    <row r="24" spans="1:25">
      <c r="A24" s="148" t="str">
        <f>IF(C24="","",VLOOKUP('Opći dio'!$C$3,'Opći dio'!$L$6:$U$135,10,FALSE))</f>
        <v>08006</v>
      </c>
      <c r="B24" s="148" t="str">
        <f>IF(C24="","",VLOOKUP('Opći dio'!$C$3,'Opći dio'!$L$6:$U$135,9,FALSE))</f>
        <v>Sveučilišta i veleučilišta u Republici Hrvatskoj</v>
      </c>
      <c r="C24" s="154">
        <v>52</v>
      </c>
      <c r="D24" s="149" t="str">
        <f t="shared" si="1"/>
        <v>Ostale pomoći</v>
      </c>
      <c r="E24" s="154">
        <v>3235</v>
      </c>
      <c r="F24" s="149" t="str">
        <f t="shared" si="0"/>
        <v>Zakupnine i najamnine</v>
      </c>
      <c r="G24" s="201" t="s">
        <v>864</v>
      </c>
      <c r="H24" s="149" t="str">
        <f t="shared" si="2"/>
        <v>PROGRAMSKO FINANCIRANJE JAVNIH VISOKIH UČILIŠTA</v>
      </c>
      <c r="I24" s="198">
        <v>130000</v>
      </c>
      <c r="J24" s="198">
        <v>130000</v>
      </c>
      <c r="K24" s="198">
        <v>130000</v>
      </c>
      <c r="M24" s="144" t="str">
        <f t="shared" si="3"/>
        <v>323</v>
      </c>
      <c r="N24" s="144" t="str">
        <f t="shared" si="4"/>
        <v>32</v>
      </c>
      <c r="R24" s="144">
        <v>3233</v>
      </c>
      <c r="S24" s="144" t="s">
        <v>96</v>
      </c>
      <c r="U24" s="144" t="str">
        <f t="shared" si="7"/>
        <v>32</v>
      </c>
      <c r="V24" s="144" t="str">
        <f t="shared" si="8"/>
        <v>323</v>
      </c>
      <c r="X24" s="144" t="s">
        <v>144</v>
      </c>
      <c r="Y24" s="144" t="s">
        <v>877</v>
      </c>
    </row>
    <row r="25" spans="1:25">
      <c r="A25" s="148" t="str">
        <f>IF(C25="","",VLOOKUP('Opći dio'!$C$3,'Opći dio'!$L$6:$U$135,10,FALSE))</f>
        <v>08006</v>
      </c>
      <c r="B25" s="148" t="str">
        <f>IF(C25="","",VLOOKUP('Opći dio'!$C$3,'Opći dio'!$L$6:$U$135,9,FALSE))</f>
        <v>Sveučilišta i veleučilišta u Republici Hrvatskoj</v>
      </c>
      <c r="C25" s="154">
        <v>52</v>
      </c>
      <c r="D25" s="149" t="str">
        <f t="shared" si="1"/>
        <v>Ostale pomoći</v>
      </c>
      <c r="E25" s="154">
        <v>3237</v>
      </c>
      <c r="F25" s="149" t="str">
        <f t="shared" si="0"/>
        <v>Intelektualne i osobne usluge</v>
      </c>
      <c r="G25" s="201" t="s">
        <v>864</v>
      </c>
      <c r="H25" s="149" t="str">
        <f t="shared" si="2"/>
        <v>PROGRAMSKO FINANCIRANJE JAVNIH VISOKIH UČILIŠTA</v>
      </c>
      <c r="I25" s="198">
        <v>70000</v>
      </c>
      <c r="J25" s="198">
        <v>71000</v>
      </c>
      <c r="K25" s="198">
        <v>72000</v>
      </c>
      <c r="M25" s="144" t="str">
        <f t="shared" si="3"/>
        <v>323</v>
      </c>
      <c r="N25" s="144" t="str">
        <f t="shared" si="4"/>
        <v>32</v>
      </c>
      <c r="R25" s="144">
        <v>3234</v>
      </c>
      <c r="S25" s="144" t="s">
        <v>109</v>
      </c>
      <c r="U25" s="144" t="str">
        <f t="shared" si="7"/>
        <v>32</v>
      </c>
      <c r="V25" s="144" t="str">
        <f t="shared" si="8"/>
        <v>323</v>
      </c>
      <c r="X25" s="144" t="s">
        <v>150</v>
      </c>
      <c r="Y25" s="144" t="s">
        <v>878</v>
      </c>
    </row>
    <row r="26" spans="1:25">
      <c r="A26" s="148" t="str">
        <f>IF(C26="","",VLOOKUP('Opći dio'!$C$3,'Opći dio'!$L$6:$U$135,10,FALSE))</f>
        <v>08006</v>
      </c>
      <c r="B26" s="148" t="str">
        <f>IF(C26="","",VLOOKUP('Opći dio'!$C$3,'Opći dio'!$L$6:$U$135,9,FALSE))</f>
        <v>Sveučilišta i veleučilišta u Republici Hrvatskoj</v>
      </c>
      <c r="C26" s="154">
        <v>52</v>
      </c>
      <c r="D26" s="149" t="str">
        <f t="shared" si="1"/>
        <v>Ostale pomoći</v>
      </c>
      <c r="E26" s="154">
        <v>3238</v>
      </c>
      <c r="F26" s="149" t="str">
        <f t="shared" si="0"/>
        <v>Računalne usluge</v>
      </c>
      <c r="G26" s="201" t="s">
        <v>864</v>
      </c>
      <c r="H26" s="149" t="str">
        <f t="shared" si="2"/>
        <v>PROGRAMSKO FINANCIRANJE JAVNIH VISOKIH UČILIŠTA</v>
      </c>
      <c r="I26" s="198">
        <v>5000</v>
      </c>
      <c r="J26" s="198">
        <v>6000</v>
      </c>
      <c r="K26" s="198">
        <v>7500</v>
      </c>
      <c r="M26" s="144" t="str">
        <f t="shared" si="3"/>
        <v>323</v>
      </c>
      <c r="N26" s="144" t="str">
        <f t="shared" si="4"/>
        <v>32</v>
      </c>
      <c r="R26" s="144">
        <v>3235</v>
      </c>
      <c r="S26" s="144" t="s">
        <v>129</v>
      </c>
      <c r="U26" s="144" t="str">
        <f t="shared" si="7"/>
        <v>32</v>
      </c>
      <c r="V26" s="144" t="str">
        <f t="shared" si="8"/>
        <v>323</v>
      </c>
      <c r="X26" s="144" t="s">
        <v>152</v>
      </c>
      <c r="Y26" s="144" t="s">
        <v>879</v>
      </c>
    </row>
    <row r="27" spans="1:25">
      <c r="A27" s="148" t="str">
        <f>IF(C27="","",VLOOKUP('Opći dio'!$C$3,'Opći dio'!$L$6:$U$135,10,FALSE))</f>
        <v>08006</v>
      </c>
      <c r="B27" s="148" t="str">
        <f>IF(C27="","",VLOOKUP('Opći dio'!$C$3,'Opći dio'!$L$6:$U$135,9,FALSE))</f>
        <v>Sveučilišta i veleučilišta u Republici Hrvatskoj</v>
      </c>
      <c r="C27" s="154">
        <v>52</v>
      </c>
      <c r="D27" s="149" t="str">
        <f t="shared" si="1"/>
        <v>Ostale pomoći</v>
      </c>
      <c r="E27" s="154">
        <v>3239</v>
      </c>
      <c r="F27" s="149" t="str">
        <f t="shared" si="0"/>
        <v>Ostale usluge</v>
      </c>
      <c r="G27" s="201" t="s">
        <v>864</v>
      </c>
      <c r="H27" s="149" t="str">
        <f t="shared" si="2"/>
        <v>PROGRAMSKO FINANCIRANJE JAVNIH VISOKIH UČILIŠTA</v>
      </c>
      <c r="I27" s="198">
        <v>95000</v>
      </c>
      <c r="J27" s="198">
        <v>96000</v>
      </c>
      <c r="K27" s="198">
        <v>96700</v>
      </c>
      <c r="M27" s="144" t="str">
        <f t="shared" si="3"/>
        <v>323</v>
      </c>
      <c r="N27" s="144" t="str">
        <f t="shared" si="4"/>
        <v>32</v>
      </c>
      <c r="R27" s="144">
        <v>3236</v>
      </c>
      <c r="S27" s="144" t="s">
        <v>72</v>
      </c>
      <c r="U27" s="144" t="str">
        <f t="shared" si="7"/>
        <v>32</v>
      </c>
      <c r="V27" s="144" t="str">
        <f t="shared" si="8"/>
        <v>323</v>
      </c>
      <c r="X27" s="144" t="s">
        <v>154</v>
      </c>
      <c r="Y27" s="144" t="s">
        <v>880</v>
      </c>
    </row>
    <row r="28" spans="1:25">
      <c r="A28" s="148" t="str">
        <f>IF(C28="","",VLOOKUP('Opći dio'!$C$3,'Opći dio'!$L$6:$U$135,10,FALSE))</f>
        <v>08006</v>
      </c>
      <c r="B28" s="148" t="str">
        <f>IF(C28="","",VLOOKUP('Opći dio'!$C$3,'Opći dio'!$L$6:$U$135,9,FALSE))</f>
        <v>Sveučilišta i veleučilišta u Republici Hrvatskoj</v>
      </c>
      <c r="C28" s="154">
        <v>52</v>
      </c>
      <c r="D28" s="149" t="str">
        <f t="shared" si="1"/>
        <v>Ostale pomoći</v>
      </c>
      <c r="E28" s="154">
        <v>3293</v>
      </c>
      <c r="F28" s="149" t="str">
        <f t="shared" si="0"/>
        <v>Reprezentacija</v>
      </c>
      <c r="G28" s="201" t="s">
        <v>864</v>
      </c>
      <c r="H28" s="149" t="str">
        <f t="shared" si="2"/>
        <v>PROGRAMSKO FINANCIRANJE JAVNIH VISOKIH UČILIŠTA</v>
      </c>
      <c r="I28" s="198">
        <v>20000</v>
      </c>
      <c r="J28" s="198">
        <v>20000</v>
      </c>
      <c r="K28" s="198">
        <v>20000</v>
      </c>
      <c r="M28" s="144" t="str">
        <f t="shared" si="3"/>
        <v>329</v>
      </c>
      <c r="N28" s="144" t="str">
        <f t="shared" si="4"/>
        <v>32</v>
      </c>
      <c r="R28" s="144">
        <v>3237</v>
      </c>
      <c r="S28" s="144" t="s">
        <v>85</v>
      </c>
      <c r="U28" s="144" t="str">
        <f t="shared" si="7"/>
        <v>32</v>
      </c>
      <c r="V28" s="144" t="str">
        <f t="shared" si="8"/>
        <v>323</v>
      </c>
      <c r="X28" s="144" t="s">
        <v>158</v>
      </c>
      <c r="Y28" s="144" t="s">
        <v>881</v>
      </c>
    </row>
    <row r="29" spans="1:25">
      <c r="A29" s="148" t="str">
        <f>IF(C29="","",VLOOKUP('Opći dio'!$C$3,'Opći dio'!$L$6:$U$135,10,FALSE))</f>
        <v>08006</v>
      </c>
      <c r="B29" s="148" t="str">
        <f>IF(C29="","",VLOOKUP('Opći dio'!$C$3,'Opći dio'!$L$6:$U$135,9,FALSE))</f>
        <v>Sveučilišta i veleučilišta u Republici Hrvatskoj</v>
      </c>
      <c r="C29" s="154">
        <v>52</v>
      </c>
      <c r="D29" s="149" t="str">
        <f t="shared" si="1"/>
        <v>Ostale pomoći</v>
      </c>
      <c r="E29" s="154">
        <v>3431</v>
      </c>
      <c r="F29" s="149" t="str">
        <f t="shared" si="0"/>
        <v>Bankarske usluge i usluge platnog prometa</v>
      </c>
      <c r="G29" s="201" t="s">
        <v>864</v>
      </c>
      <c r="H29" s="149" t="str">
        <f t="shared" si="2"/>
        <v>PROGRAMSKO FINANCIRANJE JAVNIH VISOKIH UČILIŠTA</v>
      </c>
      <c r="I29" s="198">
        <v>8000</v>
      </c>
      <c r="J29" s="198">
        <v>8400</v>
      </c>
      <c r="K29" s="198">
        <v>8500</v>
      </c>
      <c r="M29" s="144" t="str">
        <f t="shared" si="3"/>
        <v>343</v>
      </c>
      <c r="N29" s="144" t="str">
        <f t="shared" si="4"/>
        <v>34</v>
      </c>
      <c r="R29" s="144">
        <v>3238</v>
      </c>
      <c r="S29" s="144" t="s">
        <v>122</v>
      </c>
      <c r="U29" s="144" t="str">
        <f t="shared" si="7"/>
        <v>32</v>
      </c>
      <c r="V29" s="144" t="str">
        <f t="shared" si="8"/>
        <v>323</v>
      </c>
      <c r="X29" s="144" t="s">
        <v>164</v>
      </c>
      <c r="Y29" s="144" t="s">
        <v>882</v>
      </c>
    </row>
    <row r="30" spans="1:25">
      <c r="A30" s="148" t="str">
        <f>IF(C30="","",VLOOKUP('Opći dio'!$C$3,'Opći dio'!$L$6:$U$135,10,FALSE))</f>
        <v>08006</v>
      </c>
      <c r="B30" s="148" t="str">
        <f>IF(C30="","",VLOOKUP('Opći dio'!$C$3,'Opći dio'!$L$6:$U$135,9,FALSE))</f>
        <v>Sveučilišta i veleučilišta u Republici Hrvatskoj</v>
      </c>
      <c r="C30" s="154">
        <v>52</v>
      </c>
      <c r="D30" s="149" t="str">
        <f t="shared" si="1"/>
        <v>Ostale pomoći</v>
      </c>
      <c r="E30" s="154">
        <v>3432</v>
      </c>
      <c r="F30" s="149" t="str">
        <f t="shared" si="0"/>
        <v>Negativne tečajne razlike i razlike zbog primjene valutne kl</v>
      </c>
      <c r="G30" s="201" t="s">
        <v>864</v>
      </c>
      <c r="H30" s="149" t="str">
        <f t="shared" si="2"/>
        <v>PROGRAMSKO FINANCIRANJE JAVNIH VISOKIH UČILIŠTA</v>
      </c>
      <c r="I30" s="198">
        <v>1500</v>
      </c>
      <c r="J30" s="198">
        <v>1600</v>
      </c>
      <c r="K30" s="198">
        <v>1700</v>
      </c>
      <c r="M30" s="144" t="str">
        <f t="shared" si="3"/>
        <v>343</v>
      </c>
      <c r="N30" s="144" t="str">
        <f t="shared" si="4"/>
        <v>34</v>
      </c>
      <c r="R30" s="144">
        <v>3239</v>
      </c>
      <c r="S30" s="144" t="s">
        <v>102</v>
      </c>
      <c r="U30" s="144" t="str">
        <f t="shared" si="7"/>
        <v>32</v>
      </c>
      <c r="V30" s="144" t="str">
        <f t="shared" si="8"/>
        <v>323</v>
      </c>
      <c r="X30" s="144" t="s">
        <v>883</v>
      </c>
      <c r="Y30" s="144" t="s">
        <v>884</v>
      </c>
    </row>
    <row r="31" spans="1:25">
      <c r="A31" s="148" t="str">
        <f>IF(C31="","",VLOOKUP('Opći dio'!$C$3,'Opći dio'!$L$6:$U$135,10,FALSE))</f>
        <v>08006</v>
      </c>
      <c r="B31" s="148" t="str">
        <f>IF(C31="","",VLOOKUP('Opći dio'!$C$3,'Opći dio'!$L$6:$U$135,9,FALSE))</f>
        <v>Sveučilišta i veleučilišta u Republici Hrvatskoj</v>
      </c>
      <c r="C31" s="154">
        <v>31</v>
      </c>
      <c r="D31" s="149" t="str">
        <f t="shared" si="1"/>
        <v>Vlastiti prihodi</v>
      </c>
      <c r="E31" s="154">
        <v>3237</v>
      </c>
      <c r="F31" s="149" t="str">
        <f t="shared" si="0"/>
        <v>Intelektualne i osobne usluge</v>
      </c>
      <c r="G31" s="201" t="s">
        <v>200</v>
      </c>
      <c r="H31" s="149" t="str">
        <f t="shared" si="2"/>
        <v>REDOVNA DJELATNOST SVEUČILIŠTA U SPLITU (IZ EVIDENCIJSKIH PRIHODA)</v>
      </c>
      <c r="I31" s="198">
        <v>44750</v>
      </c>
      <c r="J31" s="198">
        <v>49060</v>
      </c>
      <c r="K31" s="198">
        <v>42550</v>
      </c>
      <c r="M31" s="144" t="str">
        <f t="shared" si="3"/>
        <v>323</v>
      </c>
      <c r="N31" s="144" t="str">
        <f t="shared" si="4"/>
        <v>32</v>
      </c>
      <c r="R31" s="144">
        <v>3241</v>
      </c>
      <c r="S31" s="144" t="s">
        <v>99</v>
      </c>
      <c r="U31" s="144" t="str">
        <f t="shared" si="7"/>
        <v>32</v>
      </c>
      <c r="V31" s="144" t="str">
        <f t="shared" si="8"/>
        <v>324</v>
      </c>
      <c r="X31" s="144" t="s">
        <v>165</v>
      </c>
      <c r="Y31" s="144" t="s">
        <v>885</v>
      </c>
    </row>
    <row r="32" spans="1:25">
      <c r="A32" s="148" t="str">
        <f>IF(C32="","",VLOOKUP('Opći dio'!$C$3,'Opći dio'!$L$6:$U$135,10,FALSE))</f>
        <v>08006</v>
      </c>
      <c r="B32" s="148" t="str">
        <f>IF(C32="","",VLOOKUP('Opći dio'!$C$3,'Opći dio'!$L$6:$U$135,9,FALSE))</f>
        <v>Sveučilišta i veleučilišta u Republici Hrvatskoj</v>
      </c>
      <c r="C32" s="154">
        <v>31</v>
      </c>
      <c r="D32" s="149" t="str">
        <f t="shared" si="1"/>
        <v>Vlastiti prihodi</v>
      </c>
      <c r="E32" s="154">
        <v>3293</v>
      </c>
      <c r="F32" s="149" t="str">
        <f t="shared" si="0"/>
        <v>Reprezentacija</v>
      </c>
      <c r="G32" s="201" t="s">
        <v>200</v>
      </c>
      <c r="H32" s="149" t="str">
        <f t="shared" si="2"/>
        <v>REDOVNA DJELATNOST SVEUČILIŠTA U SPLITU (IZ EVIDENCIJSKIH PRIHODA)</v>
      </c>
      <c r="I32" s="198">
        <v>5000</v>
      </c>
      <c r="J32" s="198">
        <v>5000</v>
      </c>
      <c r="K32" s="198">
        <v>5000</v>
      </c>
      <c r="M32" s="144" t="str">
        <f t="shared" si="3"/>
        <v>329</v>
      </c>
      <c r="N32" s="144" t="str">
        <f t="shared" si="4"/>
        <v>32</v>
      </c>
      <c r="R32" s="144">
        <v>3291</v>
      </c>
      <c r="S32" s="144" t="s">
        <v>100</v>
      </c>
      <c r="U32" s="144" t="str">
        <f t="shared" si="7"/>
        <v>32</v>
      </c>
      <c r="V32" s="144" t="str">
        <f t="shared" si="8"/>
        <v>329</v>
      </c>
      <c r="X32" s="144" t="s">
        <v>194</v>
      </c>
      <c r="Y32" s="144" t="s">
        <v>886</v>
      </c>
    </row>
    <row r="33" spans="1:25">
      <c r="A33" s="148" t="str">
        <f>IF(C33="","",VLOOKUP('Opći dio'!$C$3,'Opći dio'!$L$6:$U$135,10,FALSE))</f>
        <v>08006</v>
      </c>
      <c r="B33" s="148" t="str">
        <f>IF(C33="","",VLOOKUP('Opći dio'!$C$3,'Opći dio'!$L$6:$U$135,9,FALSE))</f>
        <v>Sveučilišta i veleučilišta u Republici Hrvatskoj</v>
      </c>
      <c r="C33" s="154">
        <v>31</v>
      </c>
      <c r="D33" s="149" t="str">
        <f t="shared" si="1"/>
        <v>Vlastiti prihodi</v>
      </c>
      <c r="E33" s="154">
        <v>3295</v>
      </c>
      <c r="F33" s="149" t="str">
        <f t="shared" si="0"/>
        <v>Pristojbe i naknade</v>
      </c>
      <c r="G33" s="201" t="s">
        <v>200</v>
      </c>
      <c r="H33" s="149" t="str">
        <f t="shared" si="2"/>
        <v>REDOVNA DJELATNOST SVEUČILIŠTA U SPLITU (IZ EVIDENCIJSKIH PRIHODA)</v>
      </c>
      <c r="I33" s="198">
        <v>5400</v>
      </c>
      <c r="J33" s="198">
        <v>5400</v>
      </c>
      <c r="K33" s="198">
        <v>5940</v>
      </c>
      <c r="M33" s="144" t="str">
        <f t="shared" si="3"/>
        <v>329</v>
      </c>
      <c r="N33" s="144" t="str">
        <f t="shared" si="4"/>
        <v>32</v>
      </c>
      <c r="R33" s="144">
        <v>3292</v>
      </c>
      <c r="S33" s="144" t="s">
        <v>93</v>
      </c>
      <c r="U33" s="144" t="str">
        <f t="shared" si="7"/>
        <v>32</v>
      </c>
      <c r="V33" s="144" t="str">
        <f t="shared" si="8"/>
        <v>329</v>
      </c>
      <c r="X33" s="144" t="s">
        <v>197</v>
      </c>
      <c r="Y33" s="144" t="s">
        <v>887</v>
      </c>
    </row>
    <row r="34" spans="1:25">
      <c r="A34" s="148" t="str">
        <f>IF(C34="","",VLOOKUP('Opći dio'!$C$3,'Opći dio'!$L$6:$U$135,10,FALSE))</f>
        <v>08006</v>
      </c>
      <c r="B34" s="148" t="str">
        <f>IF(C34="","",VLOOKUP('Opći dio'!$C$3,'Opći dio'!$L$6:$U$135,9,FALSE))</f>
        <v>Sveučilišta i veleučilišta u Republici Hrvatskoj</v>
      </c>
      <c r="C34" s="154">
        <v>31</v>
      </c>
      <c r="D34" s="149" t="str">
        <f t="shared" si="1"/>
        <v>Vlastiti prihodi</v>
      </c>
      <c r="E34" s="154">
        <v>4221</v>
      </c>
      <c r="F34" s="149" t="str">
        <f t="shared" si="0"/>
        <v>Uredska oprema i namještaj</v>
      </c>
      <c r="G34" s="201" t="s">
        <v>200</v>
      </c>
      <c r="H34" s="149" t="str">
        <f t="shared" si="2"/>
        <v>REDOVNA DJELATNOST SVEUČILIŠTA U SPLITU (IZ EVIDENCIJSKIH PRIHODA)</v>
      </c>
      <c r="I34" s="198">
        <v>10000</v>
      </c>
      <c r="J34" s="198">
        <v>12000</v>
      </c>
      <c r="K34" s="198">
        <v>15000</v>
      </c>
      <c r="M34" s="144" t="str">
        <f t="shared" si="3"/>
        <v>422</v>
      </c>
      <c r="N34" s="144" t="str">
        <f t="shared" si="4"/>
        <v>42</v>
      </c>
      <c r="R34" s="144">
        <v>3293</v>
      </c>
      <c r="S34" s="144" t="s">
        <v>103</v>
      </c>
      <c r="U34" s="144" t="str">
        <f t="shared" si="7"/>
        <v>32</v>
      </c>
      <c r="V34" s="144" t="str">
        <f t="shared" si="8"/>
        <v>329</v>
      </c>
      <c r="X34" s="144" t="s">
        <v>200</v>
      </c>
      <c r="Y34" s="144" t="s">
        <v>888</v>
      </c>
    </row>
    <row r="35" spans="1:25">
      <c r="A35" s="148" t="str">
        <f>IF(C35="","",VLOOKUP('Opći dio'!$C$3,'Opći dio'!$L$6:$U$135,10,FALSE))</f>
        <v>08006</v>
      </c>
      <c r="B35" s="148" t="str">
        <f>IF(C35="","",VLOOKUP('Opći dio'!$C$3,'Opći dio'!$L$6:$U$135,9,FALSE))</f>
        <v>Sveučilišta i veleučilišta u Republici Hrvatskoj</v>
      </c>
      <c r="C35" s="154">
        <v>43</v>
      </c>
      <c r="D35" s="149" t="str">
        <f t="shared" si="1"/>
        <v>Ostali prihodi za posebne namjene</v>
      </c>
      <c r="E35" s="154">
        <v>3221</v>
      </c>
      <c r="F35" s="149" t="str">
        <f t="shared" si="0"/>
        <v>Uredski materijal i ostali materijalni rashodi</v>
      </c>
      <c r="G35" s="201" t="s">
        <v>200</v>
      </c>
      <c r="H35" s="149" t="str">
        <f t="shared" si="2"/>
        <v>REDOVNA DJELATNOST SVEUČILIŠTA U SPLITU (IZ EVIDENCIJSKIH PRIHODA)</v>
      </c>
      <c r="I35" s="198">
        <v>5000</v>
      </c>
      <c r="J35" s="198">
        <v>6148</v>
      </c>
      <c r="K35" s="198">
        <v>7500</v>
      </c>
      <c r="M35" s="144" t="str">
        <f t="shared" si="3"/>
        <v>322</v>
      </c>
      <c r="N35" s="144" t="str">
        <f t="shared" si="4"/>
        <v>32</v>
      </c>
      <c r="R35" s="144">
        <v>3293</v>
      </c>
      <c r="S35" s="144" t="s">
        <v>151</v>
      </c>
      <c r="U35" s="144" t="str">
        <f t="shared" si="7"/>
        <v>32</v>
      </c>
      <c r="V35" s="144" t="str">
        <f t="shared" si="8"/>
        <v>329</v>
      </c>
      <c r="X35" s="144" t="s">
        <v>204</v>
      </c>
      <c r="Y35" s="144" t="s">
        <v>889</v>
      </c>
    </row>
    <row r="36" spans="1:25">
      <c r="A36" s="148" t="str">
        <f>IF(C36="","",VLOOKUP('Opći dio'!$C$3,'Opći dio'!$L$6:$U$135,10,FALSE))</f>
        <v>08006</v>
      </c>
      <c r="B36" s="148" t="str">
        <f>IF(C36="","",VLOOKUP('Opći dio'!$C$3,'Opći dio'!$L$6:$U$135,9,FALSE))</f>
        <v>Sveučilišta i veleučilišta u Republici Hrvatskoj</v>
      </c>
      <c r="C36" s="154">
        <v>43</v>
      </c>
      <c r="D36" s="149" t="str">
        <f t="shared" si="1"/>
        <v>Ostali prihodi za posebne namjene</v>
      </c>
      <c r="E36" s="154">
        <v>3224</v>
      </c>
      <c r="F36" s="149" t="str">
        <f t="shared" si="0"/>
        <v>Materijal i dijelovi za tekuće i investicijsko održavanje</v>
      </c>
      <c r="G36" s="201" t="s">
        <v>200</v>
      </c>
      <c r="H36" s="149" t="str">
        <f t="shared" si="2"/>
        <v>REDOVNA DJELATNOST SVEUČILIŠTA U SPLITU (IZ EVIDENCIJSKIH PRIHODA)</v>
      </c>
      <c r="I36" s="198">
        <v>20000</v>
      </c>
      <c r="J36" s="198">
        <v>22000</v>
      </c>
      <c r="K36" s="198">
        <v>23000</v>
      </c>
      <c r="M36" s="144" t="str">
        <f t="shared" si="3"/>
        <v>322</v>
      </c>
      <c r="N36" s="144" t="str">
        <f t="shared" si="4"/>
        <v>32</v>
      </c>
      <c r="R36" s="144">
        <v>3294</v>
      </c>
      <c r="S36" s="144" t="s">
        <v>104</v>
      </c>
      <c r="U36" s="144" t="str">
        <f t="shared" si="7"/>
        <v>32</v>
      </c>
      <c r="V36" s="144" t="str">
        <f t="shared" si="8"/>
        <v>329</v>
      </c>
      <c r="X36" s="144" t="s">
        <v>205</v>
      </c>
      <c r="Y36" s="144" t="s">
        <v>890</v>
      </c>
    </row>
    <row r="37" spans="1:25">
      <c r="A37" s="148" t="str">
        <f>IF(C37="","",VLOOKUP('Opći dio'!$C$3,'Opći dio'!$L$6:$U$135,10,FALSE))</f>
        <v>08006</v>
      </c>
      <c r="B37" s="148" t="str">
        <f>IF(C37="","",VLOOKUP('Opći dio'!$C$3,'Opći dio'!$L$6:$U$135,9,FALSE))</f>
        <v>Sveučilišta i veleučilišta u Republici Hrvatskoj</v>
      </c>
      <c r="C37" s="154">
        <v>43</v>
      </c>
      <c r="D37" s="149" t="str">
        <f t="shared" si="1"/>
        <v>Ostali prihodi za posebne namjene</v>
      </c>
      <c r="E37" s="154">
        <v>3225</v>
      </c>
      <c r="F37" s="149" t="str">
        <f t="shared" si="0"/>
        <v>Sitni inventar i auto gume</v>
      </c>
      <c r="G37" s="201" t="s">
        <v>200</v>
      </c>
      <c r="H37" s="149" t="str">
        <f t="shared" si="2"/>
        <v>REDOVNA DJELATNOST SVEUČILIŠTA U SPLITU (IZ EVIDENCIJSKIH PRIHODA)</v>
      </c>
      <c r="I37" s="198">
        <v>10000</v>
      </c>
      <c r="J37" s="198">
        <v>12452</v>
      </c>
      <c r="K37" s="198">
        <v>13500</v>
      </c>
      <c r="M37" s="144" t="str">
        <f t="shared" si="3"/>
        <v>322</v>
      </c>
      <c r="N37" s="144" t="str">
        <f t="shared" si="4"/>
        <v>32</v>
      </c>
      <c r="R37" s="144">
        <v>3295</v>
      </c>
      <c r="S37" s="144" t="s">
        <v>73</v>
      </c>
      <c r="U37" s="144" t="str">
        <f t="shared" si="7"/>
        <v>32</v>
      </c>
      <c r="V37" s="144" t="str">
        <f t="shared" si="8"/>
        <v>329</v>
      </c>
      <c r="X37" s="144" t="s">
        <v>207</v>
      </c>
      <c r="Y37" s="144" t="s">
        <v>891</v>
      </c>
    </row>
    <row r="38" spans="1:25">
      <c r="A38" s="148" t="str">
        <f>IF(C38="","",VLOOKUP('Opći dio'!$C$3,'Opći dio'!$L$6:$U$135,10,FALSE))</f>
        <v>08006</v>
      </c>
      <c r="B38" s="148" t="str">
        <f>IF(C38="","",VLOOKUP('Opći dio'!$C$3,'Opći dio'!$L$6:$U$135,9,FALSE))</f>
        <v>Sveučilišta i veleučilišta u Republici Hrvatskoj</v>
      </c>
      <c r="C38" s="154">
        <v>43</v>
      </c>
      <c r="D38" s="149" t="str">
        <f t="shared" si="1"/>
        <v>Ostali prihodi za posebne namjene</v>
      </c>
      <c r="E38" s="154">
        <v>3231</v>
      </c>
      <c r="F38" s="149" t="str">
        <f t="shared" si="0"/>
        <v>Usluge telefona, pošte i prijevoza</v>
      </c>
      <c r="G38" s="201" t="s">
        <v>200</v>
      </c>
      <c r="H38" s="149" t="str">
        <f t="shared" si="2"/>
        <v>REDOVNA DJELATNOST SVEUČILIŠTA U SPLITU (IZ EVIDENCIJSKIH PRIHODA)</v>
      </c>
      <c r="I38" s="198">
        <v>10000</v>
      </c>
      <c r="J38" s="198">
        <v>11000</v>
      </c>
      <c r="K38" s="198">
        <v>12000</v>
      </c>
      <c r="M38" s="144" t="str">
        <f t="shared" si="3"/>
        <v>323</v>
      </c>
      <c r="N38" s="144" t="str">
        <f t="shared" si="4"/>
        <v>32</v>
      </c>
      <c r="R38" s="144">
        <v>3296</v>
      </c>
      <c r="S38" s="144" t="s">
        <v>168</v>
      </c>
      <c r="U38" s="144" t="str">
        <f t="shared" si="7"/>
        <v>32</v>
      </c>
      <c r="V38" s="144" t="str">
        <f t="shared" si="8"/>
        <v>329</v>
      </c>
      <c r="X38" s="144" t="s">
        <v>213</v>
      </c>
      <c r="Y38" s="144" t="s">
        <v>892</v>
      </c>
    </row>
    <row r="39" spans="1:25">
      <c r="A39" s="148" t="str">
        <f>IF(C39="","",VLOOKUP('Opći dio'!$C$3,'Opći dio'!$L$6:$U$135,10,FALSE))</f>
        <v>08006</v>
      </c>
      <c r="B39" s="148" t="str">
        <f>IF(C39="","",VLOOKUP('Opći dio'!$C$3,'Opći dio'!$L$6:$U$135,9,FALSE))</f>
        <v>Sveučilišta i veleučilišta u Republici Hrvatskoj</v>
      </c>
      <c r="C39" s="154">
        <v>43</v>
      </c>
      <c r="D39" s="149" t="str">
        <f t="shared" si="1"/>
        <v>Ostali prihodi za posebne namjene</v>
      </c>
      <c r="E39" s="154">
        <v>3232</v>
      </c>
      <c r="F39" s="149" t="str">
        <f t="shared" si="0"/>
        <v>Usluge tekućeg i investicijskog održavanja</v>
      </c>
      <c r="G39" s="201" t="s">
        <v>200</v>
      </c>
      <c r="H39" s="149" t="str">
        <f t="shared" si="2"/>
        <v>REDOVNA DJELATNOST SVEUČILIŠTA U SPLITU (IZ EVIDENCIJSKIH PRIHODA)</v>
      </c>
      <c r="I39" s="198">
        <v>15000</v>
      </c>
      <c r="J39" s="198">
        <v>16500</v>
      </c>
      <c r="K39" s="198">
        <v>18000</v>
      </c>
      <c r="M39" s="144" t="str">
        <f t="shared" si="3"/>
        <v>323</v>
      </c>
      <c r="N39" s="144" t="str">
        <f t="shared" si="4"/>
        <v>32</v>
      </c>
      <c r="R39" s="144">
        <v>3299</v>
      </c>
      <c r="S39" s="144" t="s">
        <v>76</v>
      </c>
      <c r="U39" s="144" t="str">
        <f t="shared" si="7"/>
        <v>32</v>
      </c>
      <c r="V39" s="144" t="str">
        <f t="shared" si="8"/>
        <v>329</v>
      </c>
      <c r="X39" s="144" t="s">
        <v>214</v>
      </c>
      <c r="Y39" s="144" t="s">
        <v>893</v>
      </c>
    </row>
    <row r="40" spans="1:25">
      <c r="A40" s="148" t="str">
        <f>IF(C40="","",VLOOKUP('Opći dio'!$C$3,'Opći dio'!$L$6:$U$135,10,FALSE))</f>
        <v>08006</v>
      </c>
      <c r="B40" s="148" t="str">
        <f>IF(C40="","",VLOOKUP('Opći dio'!$C$3,'Opći dio'!$L$6:$U$135,9,FALSE))</f>
        <v>Sveučilišta i veleučilišta u Republici Hrvatskoj</v>
      </c>
      <c r="C40" s="154">
        <v>43</v>
      </c>
      <c r="D40" s="149" t="str">
        <f t="shared" si="1"/>
        <v>Ostali prihodi za posebne namjene</v>
      </c>
      <c r="E40" s="154">
        <v>3237</v>
      </c>
      <c r="F40" s="149" t="str">
        <f t="shared" si="0"/>
        <v>Intelektualne i osobne usluge</v>
      </c>
      <c r="G40" s="201" t="s">
        <v>200</v>
      </c>
      <c r="H40" s="149" t="str">
        <f t="shared" si="2"/>
        <v>REDOVNA DJELATNOST SVEUČILIŠTA U SPLITU (IZ EVIDENCIJSKIH PRIHODA)</v>
      </c>
      <c r="I40" s="198">
        <v>62500</v>
      </c>
      <c r="J40" s="198">
        <v>67000</v>
      </c>
      <c r="K40" s="198">
        <v>70100</v>
      </c>
      <c r="M40" s="144" t="str">
        <f t="shared" si="3"/>
        <v>323</v>
      </c>
      <c r="N40" s="144" t="str">
        <f t="shared" si="4"/>
        <v>32</v>
      </c>
      <c r="R40" s="144">
        <v>3411</v>
      </c>
      <c r="S40" s="144" t="s">
        <v>206</v>
      </c>
      <c r="U40" s="144" t="str">
        <f t="shared" si="7"/>
        <v>34</v>
      </c>
      <c r="V40" s="144" t="str">
        <f t="shared" si="8"/>
        <v>341</v>
      </c>
      <c r="X40" s="144" t="s">
        <v>894</v>
      </c>
      <c r="Y40" s="144" t="s">
        <v>895</v>
      </c>
    </row>
    <row r="41" spans="1:25">
      <c r="A41" s="148" t="str">
        <f>IF(C41="","",VLOOKUP('Opći dio'!$C$3,'Opći dio'!$L$6:$U$135,10,FALSE))</f>
        <v>08006</v>
      </c>
      <c r="B41" s="148" t="str">
        <f>IF(C41="","",VLOOKUP('Opći dio'!$C$3,'Opći dio'!$L$6:$U$135,9,FALSE))</f>
        <v>Sveučilišta i veleučilišta u Republici Hrvatskoj</v>
      </c>
      <c r="C41" s="154">
        <v>43</v>
      </c>
      <c r="D41" s="149" t="str">
        <f t="shared" si="1"/>
        <v>Ostali prihodi za posebne namjene</v>
      </c>
      <c r="E41" s="154">
        <v>3294</v>
      </c>
      <c r="F41" s="149" t="str">
        <f t="shared" si="0"/>
        <v>Članarine i norme</v>
      </c>
      <c r="G41" s="201" t="s">
        <v>200</v>
      </c>
      <c r="H41" s="149" t="str">
        <f t="shared" si="2"/>
        <v>REDOVNA DJELATNOST SVEUČILIŠTA U SPLITU (IZ EVIDENCIJSKIH PRIHODA)</v>
      </c>
      <c r="I41" s="198">
        <v>12000</v>
      </c>
      <c r="J41" s="198">
        <v>12500</v>
      </c>
      <c r="K41" s="198">
        <v>13000</v>
      </c>
      <c r="M41" s="144" t="str">
        <f t="shared" si="3"/>
        <v>329</v>
      </c>
      <c r="N41" s="144" t="str">
        <f t="shared" si="4"/>
        <v>32</v>
      </c>
      <c r="R41" s="144">
        <v>3422</v>
      </c>
      <c r="S41" s="144" t="s">
        <v>169</v>
      </c>
      <c r="U41" s="144" t="str">
        <f t="shared" si="7"/>
        <v>34</v>
      </c>
      <c r="V41" s="144" t="str">
        <f t="shared" si="8"/>
        <v>342</v>
      </c>
      <c r="X41" s="144" t="s">
        <v>287</v>
      </c>
      <c r="Y41" s="144" t="s">
        <v>896</v>
      </c>
    </row>
    <row r="42" spans="1:25">
      <c r="A42" s="148" t="str">
        <f>IF(C42="","",VLOOKUP('Opći dio'!$C$3,'Opći dio'!$L$6:$U$135,10,FALSE))</f>
        <v>08006</v>
      </c>
      <c r="B42" s="148" t="str">
        <f>IF(C42="","",VLOOKUP('Opći dio'!$C$3,'Opći dio'!$L$6:$U$135,9,FALSE))</f>
        <v>Sveučilišta i veleučilišta u Republici Hrvatskoj</v>
      </c>
      <c r="C42" s="154">
        <v>43</v>
      </c>
      <c r="D42" s="149" t="str">
        <f t="shared" si="1"/>
        <v>Ostali prihodi za posebne namjene</v>
      </c>
      <c r="E42" s="154">
        <v>3292</v>
      </c>
      <c r="F42" s="149" t="str">
        <f t="shared" si="0"/>
        <v>Premije osiguranja</v>
      </c>
      <c r="G42" s="201" t="s">
        <v>200</v>
      </c>
      <c r="H42" s="149" t="str">
        <f t="shared" si="2"/>
        <v>REDOVNA DJELATNOST SVEUČILIŠTA U SPLITU (IZ EVIDENCIJSKIH PRIHODA)</v>
      </c>
      <c r="I42" s="198">
        <v>7500</v>
      </c>
      <c r="J42" s="198">
        <v>7800</v>
      </c>
      <c r="K42" s="198">
        <v>7900</v>
      </c>
      <c r="M42" s="144" t="str">
        <f t="shared" si="3"/>
        <v>329</v>
      </c>
      <c r="N42" s="144" t="str">
        <f t="shared" si="4"/>
        <v>32</v>
      </c>
      <c r="R42" s="144">
        <v>3423</v>
      </c>
      <c r="S42" s="144" t="s">
        <v>169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897</v>
      </c>
      <c r="Y42" s="144" t="s">
        <v>898</v>
      </c>
    </row>
    <row r="43" spans="1:25">
      <c r="A43" s="148" t="str">
        <f>IF(C43="","",VLOOKUP('Opći dio'!$C$3,'Opći dio'!$L$6:$U$135,10,FALSE))</f>
        <v>08006</v>
      </c>
      <c r="B43" s="148" t="str">
        <f>IF(C43="","",VLOOKUP('Opći dio'!$C$3,'Opći dio'!$L$6:$U$135,9,FALSE))</f>
        <v>Sveučilišta i veleučilišta u Republici Hrvatskoj</v>
      </c>
      <c r="C43" s="154">
        <v>43</v>
      </c>
      <c r="D43" s="149" t="str">
        <f t="shared" si="1"/>
        <v>Ostali prihodi za posebne namjene</v>
      </c>
      <c r="E43" s="154">
        <v>3241</v>
      </c>
      <c r="F43" s="149" t="str">
        <f t="shared" si="0"/>
        <v>Naknade troškova osobama izvan radnog odnosa</v>
      </c>
      <c r="G43" s="201" t="s">
        <v>200</v>
      </c>
      <c r="H43" s="149" t="str">
        <f t="shared" si="2"/>
        <v>REDOVNA DJELATNOST SVEUČILIŠTA U SPLITU (IZ EVIDENCIJSKIH PRIHODA)</v>
      </c>
      <c r="I43" s="198">
        <v>20000</v>
      </c>
      <c r="J43" s="198">
        <v>14000</v>
      </c>
      <c r="K43" s="198">
        <v>15000</v>
      </c>
      <c r="M43" s="144" t="str">
        <f t="shared" si="3"/>
        <v>324</v>
      </c>
      <c r="N43" s="144" t="str">
        <f t="shared" si="4"/>
        <v>32</v>
      </c>
      <c r="R43" s="144">
        <v>3427</v>
      </c>
      <c r="S43" s="144" t="s">
        <v>208</v>
      </c>
      <c r="U43" s="144" t="str">
        <f t="shared" si="9"/>
        <v>34</v>
      </c>
      <c r="V43" s="144" t="str">
        <f t="shared" si="10"/>
        <v>342</v>
      </c>
      <c r="X43" s="144" t="s">
        <v>899</v>
      </c>
      <c r="Y43" s="144" t="s">
        <v>900</v>
      </c>
    </row>
    <row r="44" spans="1:25">
      <c r="A44" s="148" t="str">
        <f>IF(C44="","",VLOOKUP('Opći dio'!$C$3,'Opći dio'!$L$6:$U$135,10,FALSE))</f>
        <v>08006</v>
      </c>
      <c r="B44" s="148" t="str">
        <f>IF(C44="","",VLOOKUP('Opći dio'!$C$3,'Opći dio'!$L$6:$U$135,9,FALSE))</f>
        <v>Sveučilišta i veleučilišta u Republici Hrvatskoj</v>
      </c>
      <c r="C44" s="154">
        <v>43</v>
      </c>
      <c r="D44" s="149" t="str">
        <f t="shared" si="1"/>
        <v>Ostali prihodi za posebne namjene</v>
      </c>
      <c r="E44" s="154">
        <v>3293</v>
      </c>
      <c r="F44" s="149" t="str">
        <f t="shared" si="0"/>
        <v>Reprezentacija</v>
      </c>
      <c r="G44" s="201" t="s">
        <v>200</v>
      </c>
      <c r="H44" s="149" t="str">
        <f t="shared" si="2"/>
        <v>REDOVNA DJELATNOST SVEUČILIŠTA U SPLITU (IZ EVIDENCIJSKIH PRIHODA)</v>
      </c>
      <c r="I44" s="198">
        <v>10000</v>
      </c>
      <c r="J44" s="198">
        <v>10000</v>
      </c>
      <c r="K44" s="198">
        <v>10000</v>
      </c>
      <c r="M44" s="144" t="str">
        <f t="shared" si="3"/>
        <v>329</v>
      </c>
      <c r="N44" s="144" t="str">
        <f t="shared" si="4"/>
        <v>32</v>
      </c>
      <c r="R44" s="144">
        <v>3431</v>
      </c>
      <c r="S44" s="144" t="s">
        <v>101</v>
      </c>
      <c r="U44" s="144" t="str">
        <f t="shared" si="9"/>
        <v>34</v>
      </c>
      <c r="V44" s="144" t="str">
        <f t="shared" si="10"/>
        <v>343</v>
      </c>
      <c r="X44" s="144" t="s">
        <v>901</v>
      </c>
      <c r="Y44" s="144" t="s">
        <v>902</v>
      </c>
    </row>
    <row r="45" spans="1:25">
      <c r="A45" s="148" t="str">
        <f>IF(C45="","",VLOOKUP('Opći dio'!$C$3,'Opći dio'!$L$6:$U$135,10,FALSE))</f>
        <v>08006</v>
      </c>
      <c r="B45" s="148" t="str">
        <f>IF(C45="","",VLOOKUP('Opći dio'!$C$3,'Opći dio'!$L$6:$U$135,9,FALSE))</f>
        <v>Sveučilišta i veleučilišta u Republici Hrvatskoj</v>
      </c>
      <c r="C45" s="154">
        <v>43</v>
      </c>
      <c r="D45" s="149" t="str">
        <f t="shared" si="1"/>
        <v>Ostali prihodi za posebne namjene</v>
      </c>
      <c r="E45" s="154">
        <v>3299</v>
      </c>
      <c r="F45" s="149" t="str">
        <f t="shared" si="0"/>
        <v>Ostali nespomenuti rashodi poslovanja</v>
      </c>
      <c r="G45" s="201" t="s">
        <v>200</v>
      </c>
      <c r="H45" s="149" t="str">
        <f t="shared" si="2"/>
        <v>REDOVNA DJELATNOST SVEUČILIŠTA U SPLITU (IZ EVIDENCIJSKIH PRIHODA)</v>
      </c>
      <c r="I45" s="198">
        <v>100000</v>
      </c>
      <c r="J45" s="198">
        <v>105600</v>
      </c>
      <c r="K45" s="198">
        <v>105000</v>
      </c>
      <c r="M45" s="144" t="str">
        <f t="shared" si="3"/>
        <v>329</v>
      </c>
      <c r="N45" s="144" t="str">
        <f t="shared" si="4"/>
        <v>32</v>
      </c>
      <c r="R45" s="144">
        <v>3432</v>
      </c>
      <c r="S45" s="144" t="s">
        <v>117</v>
      </c>
      <c r="U45" s="144" t="str">
        <f t="shared" si="9"/>
        <v>34</v>
      </c>
      <c r="V45" s="144" t="str">
        <f t="shared" si="10"/>
        <v>343</v>
      </c>
      <c r="X45" s="144" t="s">
        <v>903</v>
      </c>
      <c r="Y45" s="144" t="s">
        <v>904</v>
      </c>
    </row>
    <row r="46" spans="1:25">
      <c r="A46" s="148" t="str">
        <f>IF(C46="","",VLOOKUP('Opći dio'!$C$3,'Opći dio'!$L$6:$U$135,10,FALSE))</f>
        <v>08006</v>
      </c>
      <c r="B46" s="148" t="str">
        <f>IF(C46="","",VLOOKUP('Opći dio'!$C$3,'Opći dio'!$L$6:$U$135,9,FALSE))</f>
        <v>Sveučilišta i veleučilišta u Republici Hrvatskoj</v>
      </c>
      <c r="C46" s="154">
        <v>52</v>
      </c>
      <c r="D46" s="149" t="str">
        <f t="shared" si="1"/>
        <v>Ostale pomoći</v>
      </c>
      <c r="E46" s="154">
        <v>3232</v>
      </c>
      <c r="F46" s="149" t="str">
        <f t="shared" si="0"/>
        <v>Usluge tekućeg i investicijskog održavanja</v>
      </c>
      <c r="G46" s="201" t="s">
        <v>200</v>
      </c>
      <c r="H46" s="149" t="str">
        <f t="shared" si="2"/>
        <v>REDOVNA DJELATNOST SVEUČILIŠTA U SPLITU (IZ EVIDENCIJSKIH PRIHODA)</v>
      </c>
      <c r="I46" s="198">
        <v>130000</v>
      </c>
      <c r="J46" s="198"/>
      <c r="K46" s="198"/>
      <c r="M46" s="144" t="str">
        <f t="shared" si="3"/>
        <v>323</v>
      </c>
      <c r="N46" s="144" t="str">
        <f t="shared" si="4"/>
        <v>32</v>
      </c>
      <c r="R46" s="144">
        <v>3433</v>
      </c>
      <c r="S46" s="144" t="s">
        <v>156</v>
      </c>
      <c r="U46" s="144" t="str">
        <f t="shared" si="9"/>
        <v>34</v>
      </c>
      <c r="V46" s="144" t="str">
        <f t="shared" si="10"/>
        <v>343</v>
      </c>
      <c r="X46" s="144" t="s">
        <v>905</v>
      </c>
      <c r="Y46" s="144" t="s">
        <v>906</v>
      </c>
    </row>
    <row r="47" spans="1:25">
      <c r="A47" s="148" t="str">
        <f>IF(C47="","",VLOOKUP('Opći dio'!$C$3,'Opći dio'!$L$6:$U$135,10,FALSE))</f>
        <v>08006</v>
      </c>
      <c r="B47" s="148" t="str">
        <f>IF(C47="","",VLOOKUP('Opći dio'!$C$3,'Opći dio'!$L$6:$U$135,9,FALSE))</f>
        <v>Sveučilišta i veleučilišta u Republici Hrvatskoj</v>
      </c>
      <c r="C47" s="154">
        <v>61</v>
      </c>
      <c r="D47" s="149" t="str">
        <f t="shared" si="1"/>
        <v>Donacije</v>
      </c>
      <c r="E47" s="154">
        <v>3232</v>
      </c>
      <c r="F47" s="149" t="str">
        <f t="shared" si="0"/>
        <v>Usluge tekućeg i investicijskog održavanja</v>
      </c>
      <c r="G47" s="201" t="s">
        <v>200</v>
      </c>
      <c r="H47" s="149" t="str">
        <f t="shared" si="2"/>
        <v>REDOVNA DJELATNOST SVEUČILIŠTA U SPLITU (IZ EVIDENCIJSKIH PRIHODA)</v>
      </c>
      <c r="I47" s="198">
        <v>140000</v>
      </c>
      <c r="J47" s="198"/>
      <c r="K47" s="198"/>
      <c r="M47" s="144" t="str">
        <f t="shared" si="3"/>
        <v>323</v>
      </c>
      <c r="N47" s="144" t="str">
        <f t="shared" si="4"/>
        <v>32</v>
      </c>
      <c r="R47" s="144">
        <v>3434</v>
      </c>
      <c r="S47" s="144" t="s">
        <v>86</v>
      </c>
      <c r="U47" s="144" t="str">
        <f t="shared" si="9"/>
        <v>34</v>
      </c>
      <c r="V47" s="144" t="str">
        <f t="shared" si="10"/>
        <v>343</v>
      </c>
      <c r="X47" s="144" t="s">
        <v>907</v>
      </c>
      <c r="Y47" s="144" t="s">
        <v>908</v>
      </c>
    </row>
    <row r="48" spans="1:25">
      <c r="A48" s="148" t="str">
        <f>IF(C48="","",VLOOKUP('Opći dio'!$C$3,'Opći dio'!$L$6:$U$135,10,FALSE))</f>
        <v>08006</v>
      </c>
      <c r="B48" s="148" t="str">
        <f>IF(C48="","",VLOOKUP('Opći dio'!$C$3,'Opći dio'!$L$6:$U$135,9,FALSE))</f>
        <v>Sveučilišta i veleučilišta u Republici Hrvatskoj</v>
      </c>
      <c r="C48" s="154">
        <v>61</v>
      </c>
      <c r="D48" s="149" t="str">
        <f t="shared" si="1"/>
        <v>Donacije</v>
      </c>
      <c r="E48" s="154">
        <v>4221</v>
      </c>
      <c r="F48" s="149" t="str">
        <f t="shared" si="0"/>
        <v>Uredska oprema i namještaj</v>
      </c>
      <c r="G48" s="201" t="s">
        <v>200</v>
      </c>
      <c r="H48" s="149" t="str">
        <f t="shared" si="2"/>
        <v>REDOVNA DJELATNOST SVEUČILIŠTA U SPLITU (IZ EVIDENCIJSKIH PRIHODA)</v>
      </c>
      <c r="I48" s="198">
        <v>70000</v>
      </c>
      <c r="J48" s="198"/>
      <c r="K48" s="198"/>
      <c r="M48" s="144" t="str">
        <f t="shared" si="3"/>
        <v>422</v>
      </c>
      <c r="N48" s="144" t="str">
        <f t="shared" si="4"/>
        <v>42</v>
      </c>
      <c r="R48" s="144">
        <v>3511</v>
      </c>
      <c r="S48" s="144" t="s">
        <v>199</v>
      </c>
      <c r="U48" s="144" t="str">
        <f t="shared" si="9"/>
        <v>35</v>
      </c>
      <c r="V48" s="144" t="str">
        <f t="shared" si="10"/>
        <v>351</v>
      </c>
      <c r="X48" s="144" t="s">
        <v>909</v>
      </c>
      <c r="Y48" s="144" t="s">
        <v>910</v>
      </c>
    </row>
    <row r="49" spans="1:25">
      <c r="A49" s="148" t="str">
        <f>IF(C49="","",VLOOKUP('Opći dio'!$C$3,'Opći dio'!$L$6:$U$135,10,FALSE))</f>
        <v>08006</v>
      </c>
      <c r="B49" s="148" t="str">
        <f>IF(C49="","",VLOOKUP('Opći dio'!$C$3,'Opći dio'!$L$6:$U$135,9,FALSE))</f>
        <v>Sveučilišta i veleučilišta u Republici Hrvatskoj</v>
      </c>
      <c r="C49" s="154">
        <v>52</v>
      </c>
      <c r="D49" s="149" t="str">
        <f t="shared" si="1"/>
        <v>Ostale pomoći</v>
      </c>
      <c r="E49" s="154">
        <v>3239</v>
      </c>
      <c r="F49" s="149" t="str">
        <f t="shared" si="0"/>
        <v>Ostale usluge</v>
      </c>
      <c r="G49" s="201" t="s">
        <v>200</v>
      </c>
      <c r="H49" s="149" t="str">
        <f t="shared" si="2"/>
        <v>REDOVNA DJELATNOST SVEUČILIŠTA U SPLITU (IZ EVIDENCIJSKIH PRIHODA)</v>
      </c>
      <c r="I49" s="198">
        <v>20000</v>
      </c>
      <c r="J49" s="198">
        <v>15000</v>
      </c>
      <c r="K49" s="198">
        <v>16000</v>
      </c>
      <c r="M49" s="144" t="str">
        <f t="shared" si="3"/>
        <v>323</v>
      </c>
      <c r="N49" s="144" t="str">
        <f t="shared" si="4"/>
        <v>32</v>
      </c>
      <c r="R49" s="144">
        <v>3512</v>
      </c>
      <c r="S49" s="144" t="s">
        <v>201</v>
      </c>
      <c r="U49" s="144" t="str">
        <f t="shared" si="9"/>
        <v>35</v>
      </c>
      <c r="V49" s="144" t="str">
        <f t="shared" si="10"/>
        <v>351</v>
      </c>
      <c r="X49" s="144" t="s">
        <v>911</v>
      </c>
      <c r="Y49" s="144" t="s">
        <v>912</v>
      </c>
    </row>
    <row r="50" spans="1:25">
      <c r="A50" s="148" t="str">
        <f>IF(C50="","",VLOOKUP('Opći dio'!$C$3,'Opći dio'!$L$6:$U$135,10,FALSE))</f>
        <v>08006</v>
      </c>
      <c r="B50" s="148" t="str">
        <f>IF(C50="","",VLOOKUP('Opći dio'!$C$3,'Opći dio'!$L$6:$U$135,9,FALSE))</f>
        <v>Sveučilišta i veleučilišta u Republici Hrvatskoj</v>
      </c>
      <c r="C50" s="154">
        <v>52</v>
      </c>
      <c r="D50" s="149" t="str">
        <f t="shared" si="1"/>
        <v>Ostale pomoći</v>
      </c>
      <c r="E50" s="154">
        <v>3221</v>
      </c>
      <c r="F50" s="149" t="str">
        <f t="shared" si="0"/>
        <v>Uredski materijal i ostali materijalni rashodi</v>
      </c>
      <c r="G50" s="201" t="s">
        <v>200</v>
      </c>
      <c r="H50" s="149" t="str">
        <f t="shared" si="2"/>
        <v>REDOVNA DJELATNOST SVEUČILIŠTA U SPLITU (IZ EVIDENCIJSKIH PRIHODA)</v>
      </c>
      <c r="I50" s="198">
        <v>5000</v>
      </c>
      <c r="J50" s="198">
        <v>5000</v>
      </c>
      <c r="K50" s="198">
        <v>5000</v>
      </c>
      <c r="M50" s="144" t="str">
        <f t="shared" si="3"/>
        <v>322</v>
      </c>
      <c r="N50" s="144" t="str">
        <f t="shared" si="4"/>
        <v>32</v>
      </c>
      <c r="R50" s="144">
        <v>3522</v>
      </c>
      <c r="S50" s="144" t="s">
        <v>288</v>
      </c>
      <c r="U50" s="144" t="str">
        <f t="shared" si="9"/>
        <v>35</v>
      </c>
      <c r="V50" s="144" t="str">
        <f t="shared" si="10"/>
        <v>352</v>
      </c>
      <c r="X50" s="144" t="s">
        <v>913</v>
      </c>
      <c r="Y50" s="144" t="s">
        <v>896</v>
      </c>
    </row>
    <row r="51" spans="1:25">
      <c r="A51" s="148" t="str">
        <f>IF(C51="","",VLOOKUP('Opći dio'!$C$3,'Opći dio'!$L$6:$U$135,10,FALSE))</f>
        <v>08006</v>
      </c>
      <c r="B51" s="148" t="str">
        <f>IF(C51="","",VLOOKUP('Opći dio'!$C$3,'Opći dio'!$L$6:$U$135,9,FALSE))</f>
        <v>Sveučilišta i veleučilišta u Republici Hrvatskoj</v>
      </c>
      <c r="C51" s="154">
        <v>52</v>
      </c>
      <c r="D51" s="149" t="str">
        <f t="shared" si="1"/>
        <v>Ostale pomoći</v>
      </c>
      <c r="E51" s="154">
        <v>3231</v>
      </c>
      <c r="F51" s="149" t="str">
        <f t="shared" si="0"/>
        <v>Usluge telefona, pošte i prijevoza</v>
      </c>
      <c r="G51" s="201" t="s">
        <v>200</v>
      </c>
      <c r="H51" s="149" t="str">
        <f t="shared" si="2"/>
        <v>REDOVNA DJELATNOST SVEUČILIŠTA U SPLITU (IZ EVIDENCIJSKIH PRIHODA)</v>
      </c>
      <c r="I51" s="198">
        <v>5000</v>
      </c>
      <c r="J51" s="198">
        <v>10000</v>
      </c>
      <c r="K51" s="198">
        <v>9000</v>
      </c>
      <c r="M51" s="144" t="str">
        <f t="shared" si="3"/>
        <v>323</v>
      </c>
      <c r="N51" s="144" t="str">
        <f t="shared" si="4"/>
        <v>32</v>
      </c>
      <c r="R51" s="144">
        <v>3531</v>
      </c>
      <c r="S51" s="144" t="s">
        <v>153</v>
      </c>
      <c r="U51" s="144" t="str">
        <f t="shared" si="9"/>
        <v>35</v>
      </c>
      <c r="V51" s="144" t="str">
        <f t="shared" si="10"/>
        <v>353</v>
      </c>
    </row>
    <row r="52" spans="1:25">
      <c r="A52" s="148" t="str">
        <f>IF(C52="","",VLOOKUP('Opći dio'!$C$3,'Opći dio'!$L$6:$U$135,10,FALSE))</f>
        <v>08006</v>
      </c>
      <c r="B52" s="148" t="str">
        <f>IF(C52="","",VLOOKUP('Opći dio'!$C$3,'Opći dio'!$L$6:$U$135,9,FALSE))</f>
        <v>Sveučilišta i veleučilišta u Republici Hrvatskoj</v>
      </c>
      <c r="C52" s="154">
        <v>61</v>
      </c>
      <c r="D52" s="149" t="str">
        <f t="shared" si="1"/>
        <v>Donacije</v>
      </c>
      <c r="E52" s="154">
        <v>3237</v>
      </c>
      <c r="F52" s="149" t="str">
        <f t="shared" si="0"/>
        <v>Intelektualne i osobne usluge</v>
      </c>
      <c r="G52" s="201" t="s">
        <v>200</v>
      </c>
      <c r="H52" s="149" t="str">
        <f t="shared" si="2"/>
        <v>REDOVNA DJELATNOST SVEUČILIŠTA U SPLITU (IZ EVIDENCIJSKIH PRIHODA)</v>
      </c>
      <c r="I52" s="198">
        <v>0</v>
      </c>
      <c r="J52" s="198">
        <v>30000</v>
      </c>
      <c r="K52" s="198">
        <v>32000</v>
      </c>
      <c r="M52" s="144" t="str">
        <f t="shared" si="3"/>
        <v>323</v>
      </c>
      <c r="N52" s="144" t="str">
        <f t="shared" si="4"/>
        <v>32</v>
      </c>
      <c r="R52" s="144">
        <v>3611</v>
      </c>
      <c r="S52" s="144" t="s">
        <v>106</v>
      </c>
      <c r="U52" s="144" t="str">
        <f t="shared" si="9"/>
        <v>36</v>
      </c>
      <c r="V52" s="144" t="str">
        <f t="shared" si="10"/>
        <v>361</v>
      </c>
    </row>
    <row r="53" spans="1:25">
      <c r="A53" s="148" t="str">
        <f>IF(C53="","",VLOOKUP('Opći dio'!$C$3,'Opći dio'!$L$6:$U$135,10,FALSE))</f>
        <v>08006</v>
      </c>
      <c r="B53" s="148" t="str">
        <f>IF(C53="","",VLOOKUP('Opći dio'!$C$3,'Opći dio'!$L$6:$U$135,9,FALSE))</f>
        <v>Sveučilišta i veleučilišta u Republici Hrvatskoj</v>
      </c>
      <c r="C53" s="154">
        <v>61</v>
      </c>
      <c r="D53" s="149" t="str">
        <f t="shared" si="1"/>
        <v>Donacije</v>
      </c>
      <c r="E53" s="154">
        <v>3239</v>
      </c>
      <c r="F53" s="149" t="str">
        <f t="shared" si="0"/>
        <v>Ostale usluge</v>
      </c>
      <c r="G53" s="201" t="s">
        <v>200</v>
      </c>
      <c r="H53" s="149" t="str">
        <f t="shared" si="2"/>
        <v>REDOVNA DJELATNOST SVEUČILIŠTA U SPLITU (IZ EVIDENCIJSKIH PRIHODA)</v>
      </c>
      <c r="I53" s="198">
        <v>0</v>
      </c>
      <c r="J53" s="198">
        <v>30000</v>
      </c>
      <c r="K53" s="198">
        <v>33000</v>
      </c>
      <c r="M53" s="144" t="str">
        <f t="shared" si="3"/>
        <v>323</v>
      </c>
      <c r="N53" s="144" t="str">
        <f t="shared" si="4"/>
        <v>32</v>
      </c>
      <c r="R53" s="144">
        <v>3621</v>
      </c>
      <c r="S53" s="144" t="s">
        <v>157</v>
      </c>
      <c r="U53" s="144" t="str">
        <f t="shared" si="9"/>
        <v>36</v>
      </c>
      <c r="V53" s="144" t="str">
        <f t="shared" si="10"/>
        <v>362</v>
      </c>
    </row>
    <row r="54" spans="1:25">
      <c r="A54" s="148" t="str">
        <f>IF(C54="","",VLOOKUP('Opći dio'!$C$3,'Opći dio'!$L$6:$U$135,10,FALSE))</f>
        <v>08006</v>
      </c>
      <c r="B54" s="148" t="str">
        <f>IF(C54="","",VLOOKUP('Opći dio'!$C$3,'Opći dio'!$L$6:$U$135,9,FALSE))</f>
        <v>Sveučilišta i veleučilišta u Republici Hrvatskoj</v>
      </c>
      <c r="C54" s="154">
        <v>52</v>
      </c>
      <c r="D54" s="149" t="str">
        <f t="shared" si="1"/>
        <v>Ostale pomoći</v>
      </c>
      <c r="E54" s="154">
        <v>3237</v>
      </c>
      <c r="F54" s="149" t="str">
        <f t="shared" si="0"/>
        <v>Intelektualne i osobne usluge</v>
      </c>
      <c r="G54" s="201" t="s">
        <v>866</v>
      </c>
      <c r="H54" s="149" t="str">
        <f t="shared" si="2"/>
        <v>PROGRAMI VJEŽBAONICA VISOKIH UČILIŠTA</v>
      </c>
      <c r="I54" s="198">
        <v>7390</v>
      </c>
      <c r="J54" s="198">
        <v>7390</v>
      </c>
      <c r="K54" s="198">
        <v>7390</v>
      </c>
      <c r="M54" s="144" t="str">
        <f t="shared" si="3"/>
        <v>323</v>
      </c>
      <c r="N54" s="144" t="str">
        <f t="shared" si="4"/>
        <v>32</v>
      </c>
      <c r="R54" s="144">
        <v>3631</v>
      </c>
      <c r="S54" s="144" t="s">
        <v>198</v>
      </c>
      <c r="U54" s="144" t="str">
        <f t="shared" si="9"/>
        <v>36</v>
      </c>
      <c r="V54" s="144" t="str">
        <f t="shared" si="10"/>
        <v>363</v>
      </c>
    </row>
    <row r="55" spans="1:25">
      <c r="A55" s="148" t="str">
        <f>IF(C55="","",VLOOKUP('Opći dio'!$C$3,'Opći dio'!$L$6:$U$135,10,FALSE))</f>
        <v>08006</v>
      </c>
      <c r="B55" s="148" t="str">
        <f>IF(C55="","",VLOOKUP('Opći dio'!$C$3,'Opći dio'!$L$6:$U$135,9,FALSE))</f>
        <v>Sveučilišta i veleučilišta u Republici Hrvatskoj</v>
      </c>
      <c r="C55" s="154">
        <v>561</v>
      </c>
      <c r="D55" s="149" t="str">
        <f t="shared" si="1"/>
        <v>Europski socijalni fond (ESF)</v>
      </c>
      <c r="E55" s="154">
        <v>3293</v>
      </c>
      <c r="F55" s="149" t="str">
        <f t="shared" si="0"/>
        <v>Reprezentacija</v>
      </c>
      <c r="G55" s="201" t="s">
        <v>154</v>
      </c>
      <c r="H55" s="149" t="str">
        <f t="shared" si="2"/>
        <v>EU PROJEKTI SVEUČILIŠTE U SPLITU (IZ EVIDENCIJSKIH PRIHODA)</v>
      </c>
      <c r="I55" s="198"/>
      <c r="J55" s="198"/>
      <c r="K55" s="198"/>
      <c r="M55" s="144" t="str">
        <f t="shared" si="3"/>
        <v>329</v>
      </c>
      <c r="N55" s="144" t="str">
        <f t="shared" si="4"/>
        <v>32</v>
      </c>
      <c r="R55" s="144">
        <v>3632</v>
      </c>
      <c r="S55" s="144" t="s">
        <v>289</v>
      </c>
      <c r="U55" s="144" t="str">
        <f t="shared" si="9"/>
        <v>36</v>
      </c>
      <c r="V55" s="144" t="str">
        <f t="shared" si="10"/>
        <v>363</v>
      </c>
    </row>
    <row r="56" spans="1:25">
      <c r="A56" s="148" t="str">
        <f>IF(C56="","",VLOOKUP('Opći dio'!$C$3,'Opći dio'!$L$6:$U$135,10,FALSE))</f>
        <v>08006</v>
      </c>
      <c r="B56" s="148" t="str">
        <f>IF(C56="","",VLOOKUP('Opći dio'!$C$3,'Opći dio'!$L$6:$U$135,9,FALSE))</f>
        <v>Sveučilišta i veleučilišta u Republici Hrvatskoj</v>
      </c>
      <c r="C56" s="154">
        <v>561</v>
      </c>
      <c r="D56" s="149" t="str">
        <f t="shared" si="1"/>
        <v>Europski socijalni fond (ESF)</v>
      </c>
      <c r="E56" s="154">
        <v>3225</v>
      </c>
      <c r="F56" s="149" t="str">
        <f t="shared" si="0"/>
        <v>Sitni inventar i auto gume</v>
      </c>
      <c r="G56" s="201" t="s">
        <v>154</v>
      </c>
      <c r="H56" s="149" t="str">
        <f t="shared" si="2"/>
        <v>EU PROJEKTI SVEUČILIŠTE U SPLITU (IZ EVIDENCIJSKIH PRIHODA)</v>
      </c>
      <c r="I56" s="198"/>
      <c r="J56" s="198"/>
      <c r="K56" s="198"/>
      <c r="M56" s="144" t="str">
        <f t="shared" si="3"/>
        <v>322</v>
      </c>
      <c r="N56" s="144" t="str">
        <f t="shared" si="4"/>
        <v>32</v>
      </c>
      <c r="R56" s="144">
        <v>3661</v>
      </c>
      <c r="S56" s="144" t="s">
        <v>118</v>
      </c>
      <c r="U56" s="144" t="str">
        <f t="shared" si="9"/>
        <v>36</v>
      </c>
      <c r="V56" s="144" t="str">
        <f t="shared" si="10"/>
        <v>366</v>
      </c>
    </row>
    <row r="57" spans="1:25">
      <c r="A57" s="148" t="str">
        <f>IF(C57="","",VLOOKUP('Opći dio'!$C$3,'Opći dio'!$L$6:$U$135,10,FALSE))</f>
        <v>08006</v>
      </c>
      <c r="B57" s="148" t="str">
        <f>IF(C57="","",VLOOKUP('Opći dio'!$C$3,'Opći dio'!$L$6:$U$135,9,FALSE))</f>
        <v>Sveučilišta i veleučilišta u Republici Hrvatskoj</v>
      </c>
      <c r="C57" s="154">
        <v>561</v>
      </c>
      <c r="D57" s="149" t="str">
        <f t="shared" si="1"/>
        <v>Europski socijalni fond (ESF)</v>
      </c>
      <c r="E57" s="154">
        <v>3239</v>
      </c>
      <c r="F57" s="149" t="str">
        <f t="shared" si="0"/>
        <v>Ostale usluge</v>
      </c>
      <c r="G57" s="201" t="s">
        <v>154</v>
      </c>
      <c r="H57" s="149" t="str">
        <f t="shared" si="2"/>
        <v>EU PROJEKTI SVEUČILIŠTE U SPLITU (IZ EVIDENCIJSKIH PRIHODA)</v>
      </c>
      <c r="I57" s="198"/>
      <c r="J57" s="198"/>
      <c r="K57" s="198"/>
      <c r="M57" s="144" t="str">
        <f t="shared" si="3"/>
        <v>323</v>
      </c>
      <c r="N57" s="144" t="str">
        <f t="shared" si="4"/>
        <v>32</v>
      </c>
      <c r="R57" s="144">
        <v>3662</v>
      </c>
      <c r="S57" s="144" t="s">
        <v>202</v>
      </c>
      <c r="U57" s="144" t="str">
        <f t="shared" si="9"/>
        <v>36</v>
      </c>
      <c r="V57" s="144" t="str">
        <f t="shared" si="10"/>
        <v>366</v>
      </c>
    </row>
    <row r="58" spans="1:25">
      <c r="A58" s="148" t="str">
        <f>IF(C58="","",VLOOKUP('Opći dio'!$C$3,'Opći dio'!$L$6:$U$135,10,FALSE))</f>
        <v>08006</v>
      </c>
      <c r="B58" s="148" t="str">
        <f>IF(C58="","",VLOOKUP('Opći dio'!$C$3,'Opći dio'!$L$6:$U$135,9,FALSE))</f>
        <v>Sveučilišta i veleučilišta u Republici Hrvatskoj</v>
      </c>
      <c r="C58" s="154">
        <v>561</v>
      </c>
      <c r="D58" s="149" t="str">
        <f t="shared" si="1"/>
        <v>Europski socijalni fond (ESF)</v>
      </c>
      <c r="E58" s="154">
        <v>3221</v>
      </c>
      <c r="F58" s="149" t="str">
        <f t="shared" si="0"/>
        <v>Uredski materijal i ostali materijalni rashodi</v>
      </c>
      <c r="G58" s="201" t="s">
        <v>154</v>
      </c>
      <c r="H58" s="149" t="str">
        <f t="shared" si="2"/>
        <v>EU PROJEKTI SVEUČILIŠTE U SPLITU (IZ EVIDENCIJSKIH PRIHODA)</v>
      </c>
      <c r="I58" s="198"/>
      <c r="J58" s="198"/>
      <c r="K58" s="198"/>
      <c r="M58" s="144" t="str">
        <f t="shared" si="3"/>
        <v>322</v>
      </c>
      <c r="N58" s="144" t="str">
        <f t="shared" si="4"/>
        <v>32</v>
      </c>
      <c r="R58" s="144">
        <v>3681</v>
      </c>
      <c r="S58" s="144" t="s">
        <v>33</v>
      </c>
      <c r="U58" s="144" t="str">
        <f t="shared" si="9"/>
        <v>36</v>
      </c>
      <c r="V58" s="144" t="str">
        <f t="shared" si="10"/>
        <v>368</v>
      </c>
    </row>
    <row r="59" spans="1:25">
      <c r="A59" s="148" t="str">
        <f>IF(C59="","",VLOOKUP('Opći dio'!$C$3,'Opći dio'!$L$6:$U$135,10,FALSE))</f>
        <v>08006</v>
      </c>
      <c r="B59" s="148" t="str">
        <f>IF(C59="","",VLOOKUP('Opći dio'!$C$3,'Opći dio'!$L$6:$U$135,9,FALSE))</f>
        <v>Sveučilišta i veleučilišta u Republici Hrvatskoj</v>
      </c>
      <c r="C59" s="154">
        <v>561</v>
      </c>
      <c r="D59" s="149" t="str">
        <f t="shared" si="1"/>
        <v>Europski socijalni fond (ESF)</v>
      </c>
      <c r="E59" s="154">
        <v>4124</v>
      </c>
      <c r="F59" s="149" t="str">
        <f t="shared" si="0"/>
        <v>Ostala prava</v>
      </c>
      <c r="G59" s="201" t="s">
        <v>154</v>
      </c>
      <c r="H59" s="149" t="str">
        <f t="shared" si="2"/>
        <v>EU PROJEKTI SVEUČILIŠTE U SPLITU (IZ EVIDENCIJSKIH PRIHODA)</v>
      </c>
      <c r="I59" s="198"/>
      <c r="J59" s="198"/>
      <c r="K59" s="198"/>
      <c r="M59" s="144" t="str">
        <f t="shared" si="3"/>
        <v>412</v>
      </c>
      <c r="N59" s="144" t="str">
        <f t="shared" si="4"/>
        <v>41</v>
      </c>
      <c r="R59" s="144">
        <v>3682</v>
      </c>
      <c r="S59" s="144" t="s">
        <v>34</v>
      </c>
      <c r="U59" s="144" t="str">
        <f t="shared" si="9"/>
        <v>36</v>
      </c>
      <c r="V59" s="144" t="str">
        <f t="shared" si="10"/>
        <v>368</v>
      </c>
    </row>
    <row r="60" spans="1:25">
      <c r="A60" s="148" t="str">
        <f>IF(C60="","",VLOOKUP('Opći dio'!$C$3,'Opći dio'!$L$6:$U$135,10,FALSE))</f>
        <v>08006</v>
      </c>
      <c r="B60" s="148" t="str">
        <f>IF(C60="","",VLOOKUP('Opći dio'!$C$3,'Opći dio'!$L$6:$U$135,9,FALSE))</f>
        <v>Sveučilišta i veleučilišta u Republici Hrvatskoj</v>
      </c>
      <c r="C60" s="154">
        <v>561</v>
      </c>
      <c r="D60" s="149" t="str">
        <f t="shared" si="1"/>
        <v>Europski socijalni fond (ESF)</v>
      </c>
      <c r="E60" s="154">
        <v>4221</v>
      </c>
      <c r="F60" s="149" t="str">
        <f t="shared" si="0"/>
        <v>Uredska oprema i namještaj</v>
      </c>
      <c r="G60" s="201" t="s">
        <v>154</v>
      </c>
      <c r="H60" s="149" t="str">
        <f t="shared" si="2"/>
        <v>EU PROJEKTI SVEUČILIŠTE U SPLITU (IZ EVIDENCIJSKIH PRIHODA)</v>
      </c>
      <c r="I60" s="198"/>
      <c r="J60" s="198"/>
      <c r="K60" s="198"/>
      <c r="M60" s="144" t="str">
        <f t="shared" si="3"/>
        <v>422</v>
      </c>
      <c r="N60" s="144" t="str">
        <f t="shared" si="4"/>
        <v>42</v>
      </c>
      <c r="R60" s="144">
        <v>3691</v>
      </c>
      <c r="S60" s="144" t="s">
        <v>123</v>
      </c>
      <c r="U60" s="144" t="str">
        <f t="shared" si="9"/>
        <v>36</v>
      </c>
      <c r="V60" s="144" t="str">
        <f t="shared" si="10"/>
        <v>369</v>
      </c>
    </row>
    <row r="61" spans="1:25">
      <c r="A61" s="148" t="str">
        <f>IF(C61="","",VLOOKUP('Opći dio'!$C$3,'Opći dio'!$L$6:$U$135,10,FALSE))</f>
        <v/>
      </c>
      <c r="B61" s="148" t="str">
        <f>IF(C61="","",VLOOKUP('Opći dio'!$C$3,'Opći dio'!$L$6:$U$135,9,FALSE))</f>
        <v/>
      </c>
      <c r="C61" s="154"/>
      <c r="D61" s="149" t="str">
        <f t="shared" si="1"/>
        <v/>
      </c>
      <c r="E61" s="154"/>
      <c r="F61" s="149" t="str">
        <f t="shared" si="0"/>
        <v/>
      </c>
      <c r="G61" s="201"/>
      <c r="H61" s="149" t="str">
        <f t="shared" si="2"/>
        <v/>
      </c>
      <c r="I61" s="198"/>
      <c r="J61" s="198"/>
      <c r="K61" s="198"/>
      <c r="M61" s="144" t="str">
        <f t="shared" si="3"/>
        <v/>
      </c>
      <c r="N61" s="144" t="str">
        <f t="shared" si="4"/>
        <v/>
      </c>
      <c r="R61" s="144">
        <v>3692</v>
      </c>
      <c r="S61" s="144" t="s">
        <v>196</v>
      </c>
      <c r="U61" s="144" t="str">
        <f t="shared" si="9"/>
        <v>36</v>
      </c>
      <c r="V61" s="144" t="str">
        <f t="shared" si="10"/>
        <v>369</v>
      </c>
    </row>
    <row r="62" spans="1:25">
      <c r="A62" s="148" t="str">
        <f>IF(C62="","",VLOOKUP('Opći dio'!$C$3,'Opći dio'!$L$6:$U$135,10,FALSE))</f>
        <v/>
      </c>
      <c r="B62" s="148" t="str">
        <f>IF(C62="","",VLOOKUP('Opći dio'!$C$3,'Opći dio'!$L$6:$U$135,9,FALSE))</f>
        <v/>
      </c>
      <c r="C62" s="154"/>
      <c r="D62" s="149" t="str">
        <f t="shared" si="1"/>
        <v/>
      </c>
      <c r="E62" s="154"/>
      <c r="F62" s="149" t="str">
        <f t="shared" si="0"/>
        <v/>
      </c>
      <c r="G62" s="201"/>
      <c r="H62" s="149" t="str">
        <f t="shared" si="2"/>
        <v/>
      </c>
      <c r="I62" s="198"/>
      <c r="J62" s="198"/>
      <c r="K62" s="198"/>
      <c r="M62" s="144" t="str">
        <f t="shared" si="3"/>
        <v/>
      </c>
      <c r="N62" s="144" t="str">
        <f t="shared" si="4"/>
        <v/>
      </c>
      <c r="R62" s="144">
        <v>3693</v>
      </c>
      <c r="S62" s="144" t="s">
        <v>123</v>
      </c>
      <c r="U62" s="144" t="str">
        <f t="shared" si="9"/>
        <v>36</v>
      </c>
      <c r="V62" s="144" t="str">
        <f t="shared" si="10"/>
        <v>369</v>
      </c>
    </row>
    <row r="63" spans="1:25">
      <c r="A63" s="148" t="str">
        <f>IF(C63="","",VLOOKUP('Opći dio'!$C$3,'Opći dio'!$L$6:$U$135,10,FALSE))</f>
        <v/>
      </c>
      <c r="B63" s="148" t="str">
        <f>IF(C63="","",VLOOKUP('Opći dio'!$C$3,'Opći dio'!$L$6:$U$135,9,FALSE))</f>
        <v/>
      </c>
      <c r="C63" s="154"/>
      <c r="D63" s="149" t="str">
        <f t="shared" si="1"/>
        <v/>
      </c>
      <c r="E63" s="154"/>
      <c r="F63" s="149" t="str">
        <f t="shared" si="0"/>
        <v/>
      </c>
      <c r="G63" s="201"/>
      <c r="H63" s="149" t="str">
        <f t="shared" si="2"/>
        <v/>
      </c>
      <c r="I63" s="198"/>
      <c r="J63" s="198"/>
      <c r="K63" s="198"/>
      <c r="M63" s="144" t="str">
        <f t="shared" si="3"/>
        <v/>
      </c>
      <c r="N63" s="144" t="str">
        <f t="shared" si="4"/>
        <v/>
      </c>
      <c r="R63" s="144">
        <v>3694</v>
      </c>
      <c r="S63" s="144" t="s">
        <v>196</v>
      </c>
      <c r="U63" s="144" t="str">
        <f t="shared" si="9"/>
        <v>36</v>
      </c>
      <c r="V63" s="144" t="str">
        <f t="shared" si="10"/>
        <v>369</v>
      </c>
    </row>
    <row r="64" spans="1:25">
      <c r="A64" s="148" t="str">
        <f>IF(C64="","",VLOOKUP('Opći dio'!$C$3,'Opći dio'!$L$6:$U$135,10,FALSE))</f>
        <v/>
      </c>
      <c r="B64" s="148" t="str">
        <f>IF(C64="","",VLOOKUP('Opći dio'!$C$3,'Opći dio'!$L$6:$U$135,9,FALSE))</f>
        <v/>
      </c>
      <c r="C64" s="154"/>
      <c r="D64" s="149" t="str">
        <f t="shared" si="1"/>
        <v/>
      </c>
      <c r="E64" s="154"/>
      <c r="F64" s="149" t="str">
        <f t="shared" si="0"/>
        <v/>
      </c>
      <c r="G64" s="201"/>
      <c r="H64" s="149" t="str">
        <f t="shared" si="2"/>
        <v/>
      </c>
      <c r="I64" s="198"/>
      <c r="J64" s="198"/>
      <c r="K64" s="198"/>
      <c r="M64" s="144" t="str">
        <f t="shared" si="3"/>
        <v/>
      </c>
      <c r="N64" s="144" t="str">
        <f t="shared" si="4"/>
        <v/>
      </c>
      <c r="R64" s="144">
        <v>3711</v>
      </c>
      <c r="S64" s="144" t="s">
        <v>143</v>
      </c>
      <c r="U64" s="144" t="str">
        <f t="shared" si="9"/>
        <v>37</v>
      </c>
      <c r="V64" s="144" t="str">
        <f t="shared" si="10"/>
        <v>371</v>
      </c>
    </row>
    <row r="65" spans="1:22">
      <c r="A65" s="148" t="str">
        <f>IF(C65="","",VLOOKUP('Opći dio'!$C$3,'Opći dio'!$L$6:$U$135,10,FALSE))</f>
        <v/>
      </c>
      <c r="B65" s="148" t="str">
        <f>IF(C65="","",VLOOKUP('Opći dio'!$C$3,'Opći dio'!$L$6:$U$135,9,FALSE))</f>
        <v/>
      </c>
      <c r="C65" s="154"/>
      <c r="D65" s="149" t="str">
        <f t="shared" si="1"/>
        <v/>
      </c>
      <c r="E65" s="154"/>
      <c r="F65" s="149" t="str">
        <f t="shared" si="0"/>
        <v/>
      </c>
      <c r="G65" s="201"/>
      <c r="H65" s="149" t="str">
        <f t="shared" si="2"/>
        <v/>
      </c>
      <c r="I65" s="198"/>
      <c r="J65" s="198"/>
      <c r="K65" s="198"/>
      <c r="M65" s="144" t="str">
        <f t="shared" si="3"/>
        <v/>
      </c>
      <c r="N65" s="144" t="str">
        <f t="shared" si="4"/>
        <v/>
      </c>
      <c r="R65" s="144">
        <v>3712</v>
      </c>
      <c r="S65" s="144" t="s">
        <v>161</v>
      </c>
      <c r="U65" s="144" t="str">
        <f t="shared" si="9"/>
        <v>37</v>
      </c>
      <c r="V65" s="144" t="str">
        <f t="shared" si="10"/>
        <v>371</v>
      </c>
    </row>
    <row r="66" spans="1:22">
      <c r="A66" s="148" t="str">
        <f>IF(C66="","",VLOOKUP('Opći dio'!$C$3,'Opći dio'!$L$6:$U$135,10,FALSE))</f>
        <v/>
      </c>
      <c r="B66" s="148" t="str">
        <f>IF(C66="","",VLOOKUP('Opći dio'!$C$3,'Opći dio'!$L$6:$U$135,9,FALSE))</f>
        <v/>
      </c>
      <c r="C66" s="154"/>
      <c r="D66" s="149" t="str">
        <f t="shared" si="1"/>
        <v/>
      </c>
      <c r="E66" s="154"/>
      <c r="F66" s="149" t="str">
        <f t="shared" si="0"/>
        <v/>
      </c>
      <c r="G66" s="201"/>
      <c r="H66" s="149" t="str">
        <f t="shared" si="2"/>
        <v/>
      </c>
      <c r="I66" s="198"/>
      <c r="J66" s="198"/>
      <c r="K66" s="198"/>
      <c r="M66" s="144" t="str">
        <f t="shared" si="3"/>
        <v/>
      </c>
      <c r="N66" s="144" t="str">
        <f t="shared" si="4"/>
        <v/>
      </c>
      <c r="R66" s="144">
        <v>3713</v>
      </c>
      <c r="S66" s="144" t="s">
        <v>188</v>
      </c>
      <c r="U66" s="144" t="str">
        <f t="shared" si="9"/>
        <v>37</v>
      </c>
      <c r="V66" s="144" t="str">
        <f t="shared" si="10"/>
        <v>371</v>
      </c>
    </row>
    <row r="67" spans="1:22">
      <c r="A67" s="148" t="str">
        <f>IF(C67="","",VLOOKUP('Opći dio'!$C$3,'Opći dio'!$L$6:$U$135,10,FALSE))</f>
        <v/>
      </c>
      <c r="B67" s="148" t="str">
        <f>IF(C67="","",VLOOKUP('Opći dio'!$C$3,'Opći dio'!$L$6:$U$135,9,FALSE))</f>
        <v/>
      </c>
      <c r="C67" s="154"/>
      <c r="D67" s="149" t="str">
        <f t="shared" si="1"/>
        <v/>
      </c>
      <c r="E67" s="154"/>
      <c r="F67" s="149" t="str">
        <f t="shared" ref="F67:F130" si="11">IFERROR(VLOOKUP(E67,$R$5:$T$129,2,FALSE),"")</f>
        <v/>
      </c>
      <c r="G67" s="201"/>
      <c r="H67" s="149" t="str">
        <f t="shared" si="2"/>
        <v/>
      </c>
      <c r="I67" s="198"/>
      <c r="J67" s="198"/>
      <c r="K67" s="198"/>
      <c r="M67" s="144" t="str">
        <f t="shared" si="3"/>
        <v/>
      </c>
      <c r="N67" s="144" t="str">
        <f t="shared" si="4"/>
        <v/>
      </c>
      <c r="R67" s="144">
        <v>3714</v>
      </c>
      <c r="S67" s="144" t="s">
        <v>209</v>
      </c>
      <c r="U67" s="144" t="str">
        <f t="shared" si="9"/>
        <v>37</v>
      </c>
      <c r="V67" s="144" t="str">
        <f t="shared" si="10"/>
        <v>371</v>
      </c>
    </row>
    <row r="68" spans="1:22">
      <c r="A68" s="148" t="str">
        <f>IF(C68="","",VLOOKUP('Opći dio'!$C$3,'Opći dio'!$L$6:$U$135,10,FALSE))</f>
        <v/>
      </c>
      <c r="B68" s="148" t="str">
        <f>IF(C68="","",VLOOKUP('Opći dio'!$C$3,'Opći dio'!$L$6:$U$135,9,FALSE))</f>
        <v/>
      </c>
      <c r="C68" s="154"/>
      <c r="D68" s="149" t="str">
        <f t="shared" ref="D68:D131" si="12">IFERROR(VLOOKUP(C68,$O$6:$P$16,2,FALSE),"")</f>
        <v/>
      </c>
      <c r="E68" s="154"/>
      <c r="F68" s="149" t="str">
        <f t="shared" si="11"/>
        <v/>
      </c>
      <c r="G68" s="201"/>
      <c r="H68" s="149" t="str">
        <f t="shared" ref="H68:H131" si="13">IFERROR(VLOOKUP(G68,$X$6:$Y$50,2,FALSE),"")</f>
        <v/>
      </c>
      <c r="I68" s="198"/>
      <c r="J68" s="198"/>
      <c r="K68" s="198"/>
      <c r="M68" s="144" t="str">
        <f t="shared" ref="M68:M131" si="14">LEFT(E68,3)</f>
        <v/>
      </c>
      <c r="N68" s="144" t="str">
        <f t="shared" ref="N68:N131" si="15">LEFT(E68,2)</f>
        <v/>
      </c>
      <c r="R68" s="144">
        <v>3715</v>
      </c>
      <c r="S68" s="144" t="s">
        <v>147</v>
      </c>
      <c r="U68" s="144" t="str">
        <f t="shared" si="9"/>
        <v>37</v>
      </c>
      <c r="V68" s="144" t="str">
        <f t="shared" si="10"/>
        <v>371</v>
      </c>
    </row>
    <row r="69" spans="1:22">
      <c r="A69" s="148" t="str">
        <f>IF(C69="","",VLOOKUP('Opći dio'!$C$3,'Opći dio'!$L$6:$U$135,10,FALSE))</f>
        <v/>
      </c>
      <c r="B69" s="148" t="str">
        <f>IF(C69="","",VLOOKUP('Opći dio'!$C$3,'Opći dio'!$L$6:$U$135,9,FALSE))</f>
        <v/>
      </c>
      <c r="C69" s="154"/>
      <c r="D69" s="149" t="str">
        <f t="shared" si="12"/>
        <v/>
      </c>
      <c r="E69" s="154"/>
      <c r="F69" s="149" t="str">
        <f t="shared" si="11"/>
        <v/>
      </c>
      <c r="G69" s="201"/>
      <c r="H69" s="149" t="str">
        <f t="shared" si="13"/>
        <v/>
      </c>
      <c r="I69" s="198"/>
      <c r="J69" s="198"/>
      <c r="K69" s="198"/>
      <c r="M69" s="144" t="str">
        <f t="shared" si="14"/>
        <v/>
      </c>
      <c r="N69" s="144" t="str">
        <f t="shared" si="15"/>
        <v/>
      </c>
      <c r="R69" s="144">
        <v>3721</v>
      </c>
      <c r="S69" s="144" t="s">
        <v>84</v>
      </c>
      <c r="U69" s="144" t="str">
        <f t="shared" si="9"/>
        <v>37</v>
      </c>
      <c r="V69" s="144" t="str">
        <f t="shared" si="10"/>
        <v>372</v>
      </c>
    </row>
    <row r="70" spans="1:22">
      <c r="A70" s="148" t="str">
        <f>IF(C70="","",VLOOKUP('Opći dio'!$C$3,'Opći dio'!$L$6:$U$135,10,FALSE))</f>
        <v/>
      </c>
      <c r="B70" s="148" t="str">
        <f>IF(C70="","",VLOOKUP('Opći dio'!$C$3,'Opći dio'!$L$6:$U$135,9,FALSE))</f>
        <v/>
      </c>
      <c r="C70" s="154"/>
      <c r="D70" s="149" t="str">
        <f t="shared" si="12"/>
        <v/>
      </c>
      <c r="E70" s="154"/>
      <c r="F70" s="149" t="str">
        <f t="shared" si="11"/>
        <v/>
      </c>
      <c r="G70" s="201"/>
      <c r="H70" s="149" t="str">
        <f t="shared" si="13"/>
        <v/>
      </c>
      <c r="I70" s="198"/>
      <c r="J70" s="198"/>
      <c r="K70" s="198"/>
      <c r="M70" s="144" t="str">
        <f t="shared" si="14"/>
        <v/>
      </c>
      <c r="N70" s="144" t="str">
        <f t="shared" si="15"/>
        <v/>
      </c>
      <c r="R70" s="144">
        <v>3722</v>
      </c>
      <c r="S70" s="144" t="s">
        <v>170</v>
      </c>
      <c r="U70" s="144" t="str">
        <f t="shared" si="9"/>
        <v>37</v>
      </c>
      <c r="V70" s="144" t="str">
        <f t="shared" si="10"/>
        <v>372</v>
      </c>
    </row>
    <row r="71" spans="1:22">
      <c r="A71" s="148" t="str">
        <f>IF(C71="","",VLOOKUP('Opći dio'!$C$3,'Opći dio'!$L$6:$U$135,10,FALSE))</f>
        <v/>
      </c>
      <c r="B71" s="148" t="str">
        <f>IF(C71="","",VLOOKUP('Opći dio'!$C$3,'Opći dio'!$L$6:$U$135,9,FALSE))</f>
        <v/>
      </c>
      <c r="C71" s="154"/>
      <c r="D71" s="149" t="str">
        <f t="shared" si="12"/>
        <v/>
      </c>
      <c r="E71" s="154"/>
      <c r="F71" s="149" t="str">
        <f t="shared" si="11"/>
        <v/>
      </c>
      <c r="G71" s="201"/>
      <c r="H71" s="149" t="str">
        <f t="shared" si="13"/>
        <v/>
      </c>
      <c r="I71" s="198"/>
      <c r="J71" s="198"/>
      <c r="K71" s="198"/>
      <c r="M71" s="144" t="str">
        <f t="shared" si="14"/>
        <v/>
      </c>
      <c r="N71" s="144" t="str">
        <f t="shared" si="15"/>
        <v/>
      </c>
      <c r="R71" s="144">
        <v>3723</v>
      </c>
      <c r="S71" s="144" t="s">
        <v>124</v>
      </c>
      <c r="U71" s="144" t="str">
        <f t="shared" si="9"/>
        <v>37</v>
      </c>
      <c r="V71" s="144" t="str">
        <f t="shared" si="10"/>
        <v>372</v>
      </c>
    </row>
    <row r="72" spans="1:22">
      <c r="A72" s="148" t="str">
        <f>IF(C72="","",VLOOKUP('Opći dio'!$C$3,'Opći dio'!$L$6:$U$135,10,FALSE))</f>
        <v/>
      </c>
      <c r="B72" s="148" t="str">
        <f>IF(C72="","",VLOOKUP('Opći dio'!$C$3,'Opći dio'!$L$6:$U$135,9,FALSE))</f>
        <v/>
      </c>
      <c r="C72" s="154"/>
      <c r="D72" s="149" t="str">
        <f t="shared" si="12"/>
        <v/>
      </c>
      <c r="E72" s="154"/>
      <c r="F72" s="149" t="str">
        <f t="shared" si="11"/>
        <v/>
      </c>
      <c r="G72" s="201"/>
      <c r="H72" s="149" t="str">
        <f t="shared" si="13"/>
        <v/>
      </c>
      <c r="I72" s="198"/>
      <c r="J72" s="198"/>
      <c r="K72" s="198"/>
      <c r="M72" s="144" t="str">
        <f t="shared" si="14"/>
        <v/>
      </c>
      <c r="N72" s="144" t="str">
        <f t="shared" si="15"/>
        <v/>
      </c>
      <c r="R72" s="144">
        <v>3811</v>
      </c>
      <c r="S72" s="144" t="s">
        <v>74</v>
      </c>
      <c r="U72" s="144" t="str">
        <f t="shared" si="9"/>
        <v>38</v>
      </c>
      <c r="V72" s="144" t="str">
        <f t="shared" si="10"/>
        <v>381</v>
      </c>
    </row>
    <row r="73" spans="1:22">
      <c r="A73" s="148" t="str">
        <f>IF(C73="","",VLOOKUP('Opći dio'!$C$3,'Opći dio'!$L$6:$U$135,10,FALSE))</f>
        <v/>
      </c>
      <c r="B73" s="148" t="str">
        <f>IF(C73="","",VLOOKUP('Opći dio'!$C$3,'Opći dio'!$L$6:$U$135,9,FALSE))</f>
        <v/>
      </c>
      <c r="C73" s="154"/>
      <c r="D73" s="149" t="str">
        <f t="shared" si="12"/>
        <v/>
      </c>
      <c r="E73" s="154"/>
      <c r="F73" s="149" t="str">
        <f t="shared" si="11"/>
        <v/>
      </c>
      <c r="G73" s="201"/>
      <c r="H73" s="149" t="str">
        <f t="shared" si="13"/>
        <v/>
      </c>
      <c r="I73" s="198"/>
      <c r="J73" s="198"/>
      <c r="K73" s="198"/>
      <c r="M73" s="144" t="str">
        <f t="shared" si="14"/>
        <v/>
      </c>
      <c r="N73" s="144" t="str">
        <f t="shared" si="15"/>
        <v/>
      </c>
      <c r="R73" s="144">
        <v>3812</v>
      </c>
      <c r="S73" s="144" t="s">
        <v>171</v>
      </c>
      <c r="U73" s="144" t="str">
        <f t="shared" si="9"/>
        <v>38</v>
      </c>
      <c r="V73" s="144" t="str">
        <f t="shared" si="10"/>
        <v>381</v>
      </c>
    </row>
    <row r="74" spans="1:22">
      <c r="A74" s="148" t="str">
        <f>IF(C74="","",VLOOKUP('Opći dio'!$C$3,'Opći dio'!$L$6:$U$135,10,FALSE))</f>
        <v/>
      </c>
      <c r="B74" s="148" t="str">
        <f>IF(C74="","",VLOOKUP('Opći dio'!$C$3,'Opći dio'!$L$6:$U$135,9,FALSE))</f>
        <v/>
      </c>
      <c r="C74" s="154"/>
      <c r="D74" s="149" t="str">
        <f t="shared" si="12"/>
        <v/>
      </c>
      <c r="E74" s="154"/>
      <c r="F74" s="149" t="str">
        <f t="shared" si="11"/>
        <v/>
      </c>
      <c r="G74" s="201"/>
      <c r="H74" s="149" t="str">
        <f t="shared" si="13"/>
        <v/>
      </c>
      <c r="I74" s="198"/>
      <c r="J74" s="198"/>
      <c r="K74" s="198"/>
      <c r="M74" s="144" t="str">
        <f t="shared" si="14"/>
        <v/>
      </c>
      <c r="N74" s="144" t="str">
        <f t="shared" si="15"/>
        <v/>
      </c>
      <c r="R74" s="144">
        <v>3813</v>
      </c>
      <c r="S74" s="144" t="s">
        <v>113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str">
        <f>IF(C75="","",VLOOKUP('Opći dio'!$C$3,'Opći dio'!$L$6:$U$135,10,FALSE))</f>
        <v/>
      </c>
      <c r="B75" s="148" t="str">
        <f>IF(C75="","",VLOOKUP('Opći dio'!$C$3,'Opći dio'!$L$6:$U$135,9,FALSE))</f>
        <v/>
      </c>
      <c r="C75" s="154"/>
      <c r="D75" s="149" t="str">
        <f t="shared" si="12"/>
        <v/>
      </c>
      <c r="E75" s="154"/>
      <c r="F75" s="149" t="str">
        <f t="shared" si="11"/>
        <v/>
      </c>
      <c r="G75" s="201"/>
      <c r="H75" s="149" t="str">
        <f t="shared" si="13"/>
        <v/>
      </c>
      <c r="I75" s="198"/>
      <c r="J75" s="198"/>
      <c r="K75" s="198"/>
      <c r="M75" s="144" t="str">
        <f t="shared" si="14"/>
        <v/>
      </c>
      <c r="N75" s="144" t="str">
        <f t="shared" si="15"/>
        <v/>
      </c>
      <c r="R75" s="144">
        <v>3821</v>
      </c>
      <c r="S75" s="144" t="s">
        <v>189</v>
      </c>
      <c r="U75" s="144" t="str">
        <f t="shared" si="16"/>
        <v>38</v>
      </c>
      <c r="V75" s="144" t="str">
        <f t="shared" si="17"/>
        <v>382</v>
      </c>
    </row>
    <row r="76" spans="1:22">
      <c r="A76" s="148" t="str">
        <f>IF(C76="","",VLOOKUP('Opći dio'!$C$3,'Opći dio'!$L$6:$U$135,10,FALSE))</f>
        <v/>
      </c>
      <c r="B76" s="148" t="str">
        <f>IF(C76="","",VLOOKUP('Opći dio'!$C$3,'Opći dio'!$L$6:$U$135,9,FALSE))</f>
        <v/>
      </c>
      <c r="C76" s="154"/>
      <c r="D76" s="149" t="str">
        <f t="shared" si="12"/>
        <v/>
      </c>
      <c r="E76" s="154"/>
      <c r="F76" s="149" t="str">
        <f t="shared" si="11"/>
        <v/>
      </c>
      <c r="G76" s="201"/>
      <c r="H76" s="149" t="str">
        <f t="shared" si="13"/>
        <v/>
      </c>
      <c r="I76" s="198"/>
      <c r="J76" s="198"/>
      <c r="K76" s="198"/>
      <c r="M76" s="144" t="str">
        <f t="shared" si="14"/>
        <v/>
      </c>
      <c r="N76" s="144" t="str">
        <f t="shared" si="15"/>
        <v/>
      </c>
      <c r="R76" s="144">
        <v>3831</v>
      </c>
      <c r="S76" s="144" t="s">
        <v>172</v>
      </c>
      <c r="U76" s="144" t="str">
        <f t="shared" si="16"/>
        <v>38</v>
      </c>
      <c r="V76" s="144" t="str">
        <f t="shared" si="17"/>
        <v>383</v>
      </c>
    </row>
    <row r="77" spans="1:22">
      <c r="A77" s="148" t="str">
        <f>IF(C77="","",VLOOKUP('Opći dio'!$C$3,'Opći dio'!$L$6:$U$135,10,FALSE))</f>
        <v/>
      </c>
      <c r="B77" s="148" t="str">
        <f>IF(C77="","",VLOOKUP('Opći dio'!$C$3,'Opći dio'!$L$6:$U$135,9,FALSE))</f>
        <v/>
      </c>
      <c r="C77" s="154"/>
      <c r="D77" s="149" t="str">
        <f t="shared" si="12"/>
        <v/>
      </c>
      <c r="E77" s="154"/>
      <c r="F77" s="149" t="str">
        <f t="shared" si="11"/>
        <v/>
      </c>
      <c r="G77" s="201"/>
      <c r="H77" s="149" t="str">
        <f t="shared" si="13"/>
        <v/>
      </c>
      <c r="I77" s="198"/>
      <c r="J77" s="198"/>
      <c r="K77" s="198"/>
      <c r="M77" s="144" t="str">
        <f t="shared" si="14"/>
        <v/>
      </c>
      <c r="N77" s="144" t="str">
        <f t="shared" si="15"/>
        <v/>
      </c>
      <c r="R77" s="144">
        <v>3832</v>
      </c>
      <c r="S77" s="144" t="s">
        <v>212</v>
      </c>
      <c r="U77" s="144" t="str">
        <f t="shared" si="16"/>
        <v>38</v>
      </c>
      <c r="V77" s="144" t="str">
        <f t="shared" si="17"/>
        <v>383</v>
      </c>
    </row>
    <row r="78" spans="1:22">
      <c r="A78" s="148" t="str">
        <f>IF(C78="","",VLOOKUP('Opći dio'!$C$3,'Opći dio'!$L$6:$U$135,10,FALSE))</f>
        <v/>
      </c>
      <c r="B78" s="148" t="str">
        <f>IF(C78="","",VLOOKUP('Opći dio'!$C$3,'Opći dio'!$L$6:$U$135,9,FALSE))</f>
        <v/>
      </c>
      <c r="C78" s="154"/>
      <c r="D78" s="149" t="str">
        <f t="shared" si="12"/>
        <v/>
      </c>
      <c r="E78" s="154"/>
      <c r="F78" s="149" t="str">
        <f t="shared" si="11"/>
        <v/>
      </c>
      <c r="G78" s="201"/>
      <c r="H78" s="149" t="str">
        <f t="shared" si="13"/>
        <v/>
      </c>
      <c r="I78" s="198"/>
      <c r="J78" s="198"/>
      <c r="K78" s="198"/>
      <c r="M78" s="144" t="str">
        <f t="shared" si="14"/>
        <v/>
      </c>
      <c r="N78" s="144" t="str">
        <f t="shared" si="15"/>
        <v/>
      </c>
      <c r="R78" s="144">
        <v>3833</v>
      </c>
      <c r="S78" s="144" t="s">
        <v>173</v>
      </c>
      <c r="U78" s="144" t="str">
        <f t="shared" si="16"/>
        <v>38</v>
      </c>
      <c r="V78" s="144" t="str">
        <f t="shared" si="17"/>
        <v>383</v>
      </c>
    </row>
    <row r="79" spans="1:22">
      <c r="A79" s="148" t="str">
        <f>IF(C79="","",VLOOKUP('Opći dio'!$C$3,'Opći dio'!$L$6:$U$135,10,FALSE))</f>
        <v/>
      </c>
      <c r="B79" s="148" t="str">
        <f>IF(C79="","",VLOOKUP('Opći dio'!$C$3,'Opći dio'!$L$6:$U$135,9,FALSE))</f>
        <v/>
      </c>
      <c r="C79" s="154"/>
      <c r="D79" s="149" t="str">
        <f t="shared" si="12"/>
        <v/>
      </c>
      <c r="E79" s="154"/>
      <c r="F79" s="149" t="str">
        <f t="shared" si="11"/>
        <v/>
      </c>
      <c r="G79" s="201"/>
      <c r="H79" s="149" t="str">
        <f t="shared" si="13"/>
        <v/>
      </c>
      <c r="I79" s="198"/>
      <c r="J79" s="198"/>
      <c r="K79" s="198"/>
      <c r="M79" s="144" t="str">
        <f t="shared" si="14"/>
        <v/>
      </c>
      <c r="N79" s="144" t="str">
        <f t="shared" si="15"/>
        <v/>
      </c>
      <c r="R79" s="144">
        <v>3834</v>
      </c>
      <c r="S79" s="144" t="s">
        <v>174</v>
      </c>
      <c r="U79" s="144" t="str">
        <f t="shared" si="16"/>
        <v>38</v>
      </c>
      <c r="V79" s="144" t="str">
        <f t="shared" si="17"/>
        <v>383</v>
      </c>
    </row>
    <row r="80" spans="1:22">
      <c r="A80" s="148" t="str">
        <f>IF(C80="","",VLOOKUP('Opći dio'!$C$3,'Opći dio'!$L$6:$U$135,10,FALSE))</f>
        <v/>
      </c>
      <c r="B80" s="148" t="str">
        <f>IF(C80="","",VLOOKUP('Opći dio'!$C$3,'Opći dio'!$L$6:$U$135,9,FALSE))</f>
        <v/>
      </c>
      <c r="C80" s="154"/>
      <c r="D80" s="149" t="str">
        <f t="shared" si="12"/>
        <v/>
      </c>
      <c r="E80" s="154"/>
      <c r="F80" s="149" t="str">
        <f t="shared" si="11"/>
        <v/>
      </c>
      <c r="G80" s="201"/>
      <c r="H80" s="149" t="str">
        <f t="shared" si="13"/>
        <v/>
      </c>
      <c r="I80" s="198"/>
      <c r="J80" s="198"/>
      <c r="K80" s="198"/>
      <c r="M80" s="144" t="str">
        <f t="shared" si="14"/>
        <v/>
      </c>
      <c r="N80" s="144" t="str">
        <f t="shared" si="15"/>
        <v/>
      </c>
      <c r="R80" s="144">
        <v>3835</v>
      </c>
      <c r="S80" s="144" t="s">
        <v>175</v>
      </c>
      <c r="U80" s="144" t="str">
        <f t="shared" si="16"/>
        <v>38</v>
      </c>
      <c r="V80" s="144" t="str">
        <f t="shared" si="17"/>
        <v>383</v>
      </c>
    </row>
    <row r="81" spans="1:22">
      <c r="A81" s="148" t="str">
        <f>IF(C81="","",VLOOKUP('Opći dio'!$C$3,'Opći dio'!$L$6:$U$135,10,FALSE))</f>
        <v/>
      </c>
      <c r="B81" s="148" t="str">
        <f>IF(C81="","",VLOOKUP('Opći dio'!$C$3,'Opći dio'!$L$6:$U$135,9,FALSE))</f>
        <v/>
      </c>
      <c r="C81" s="154"/>
      <c r="D81" s="149" t="str">
        <f t="shared" si="12"/>
        <v/>
      </c>
      <c r="E81" s="154"/>
      <c r="F81" s="149" t="str">
        <f t="shared" si="11"/>
        <v/>
      </c>
      <c r="G81" s="201"/>
      <c r="H81" s="149" t="str">
        <f t="shared" si="13"/>
        <v/>
      </c>
      <c r="I81" s="198"/>
      <c r="J81" s="198"/>
      <c r="K81" s="198"/>
      <c r="M81" s="144" t="str">
        <f t="shared" si="14"/>
        <v/>
      </c>
      <c r="N81" s="144" t="str">
        <f t="shared" si="15"/>
        <v/>
      </c>
      <c r="R81" s="214">
        <v>3861</v>
      </c>
      <c r="S81" s="215" t="s">
        <v>850</v>
      </c>
      <c r="T81" s="214"/>
      <c r="U81" s="214" t="str">
        <f t="shared" ref="U81:U83" si="18">LEFT(R81,2)</f>
        <v>38</v>
      </c>
      <c r="V81" s="214" t="str">
        <f t="shared" ref="V81:V83" si="19">LEFT(R81,3)</f>
        <v>386</v>
      </c>
    </row>
    <row r="82" spans="1:22">
      <c r="A82" s="148" t="str">
        <f>IF(C82="","",VLOOKUP('Opći dio'!$C$3,'Opći dio'!$L$6:$U$135,10,FALSE))</f>
        <v/>
      </c>
      <c r="B82" s="148" t="str">
        <f>IF(C82="","",VLOOKUP('Opći dio'!$C$3,'Opći dio'!$L$6:$U$135,9,FALSE))</f>
        <v/>
      </c>
      <c r="C82" s="154"/>
      <c r="D82" s="149" t="str">
        <f t="shared" si="12"/>
        <v/>
      </c>
      <c r="E82" s="154"/>
      <c r="F82" s="149" t="str">
        <f t="shared" si="11"/>
        <v/>
      </c>
      <c r="G82" s="201"/>
      <c r="H82" s="149" t="str">
        <f t="shared" si="13"/>
        <v/>
      </c>
      <c r="I82" s="198"/>
      <c r="J82" s="198"/>
      <c r="K82" s="198"/>
      <c r="M82" s="144" t="str">
        <f t="shared" si="14"/>
        <v/>
      </c>
      <c r="N82" s="144" t="str">
        <f t="shared" si="15"/>
        <v/>
      </c>
      <c r="R82" s="213">
        <v>3862</v>
      </c>
      <c r="S82" s="144" t="s">
        <v>851</v>
      </c>
      <c r="U82" s="144" t="str">
        <f t="shared" si="18"/>
        <v>38</v>
      </c>
      <c r="V82" s="144" t="str">
        <f t="shared" si="19"/>
        <v>386</v>
      </c>
    </row>
    <row r="83" spans="1:22">
      <c r="A83" s="148" t="str">
        <f>IF(C83="","",VLOOKUP('Opći dio'!$C$3,'Opći dio'!$L$6:$U$135,10,FALSE))</f>
        <v/>
      </c>
      <c r="B83" s="148" t="str">
        <f>IF(C83="","",VLOOKUP('Opći dio'!$C$3,'Opći dio'!$L$6:$U$135,9,FALSE))</f>
        <v/>
      </c>
      <c r="C83" s="154"/>
      <c r="D83" s="149" t="str">
        <f t="shared" si="12"/>
        <v/>
      </c>
      <c r="E83" s="154"/>
      <c r="F83" s="149" t="str">
        <f t="shared" si="11"/>
        <v/>
      </c>
      <c r="G83" s="201"/>
      <c r="H83" s="149" t="str">
        <f t="shared" si="13"/>
        <v/>
      </c>
      <c r="I83" s="198"/>
      <c r="J83" s="198"/>
      <c r="K83" s="198"/>
      <c r="M83" s="144" t="str">
        <f t="shared" si="14"/>
        <v/>
      </c>
      <c r="N83" s="144" t="str">
        <f t="shared" si="15"/>
        <v/>
      </c>
      <c r="R83" s="213">
        <v>3863</v>
      </c>
      <c r="S83" s="144" t="s">
        <v>852</v>
      </c>
      <c r="U83" s="144" t="str">
        <f t="shared" si="18"/>
        <v>38</v>
      </c>
      <c r="V83" s="144" t="str">
        <f t="shared" si="19"/>
        <v>386</v>
      </c>
    </row>
    <row r="84" spans="1:22">
      <c r="A84" s="148" t="str">
        <f>IF(C84="","",VLOOKUP('Opći dio'!$C$3,'Opći dio'!$L$6:$U$135,10,FALSE))</f>
        <v/>
      </c>
      <c r="B84" s="148" t="str">
        <f>IF(C84="","",VLOOKUP('Opći dio'!$C$3,'Opći dio'!$L$6:$U$135,9,FALSE))</f>
        <v/>
      </c>
      <c r="C84" s="154"/>
      <c r="D84" s="149" t="str">
        <f t="shared" si="12"/>
        <v/>
      </c>
      <c r="E84" s="154"/>
      <c r="F84" s="149" t="str">
        <f t="shared" si="11"/>
        <v/>
      </c>
      <c r="G84" s="201"/>
      <c r="H84" s="149" t="str">
        <f t="shared" si="13"/>
        <v/>
      </c>
      <c r="I84" s="198"/>
      <c r="J84" s="198"/>
      <c r="K84" s="198"/>
      <c r="M84" s="144" t="str">
        <f t="shared" si="14"/>
        <v/>
      </c>
      <c r="N84" s="144" t="str">
        <f t="shared" si="15"/>
        <v/>
      </c>
      <c r="R84" s="144">
        <v>4111</v>
      </c>
      <c r="S84" s="144" t="s">
        <v>176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str">
        <f>IF(C85="","",VLOOKUP('Opći dio'!$C$3,'Opći dio'!$L$6:$U$135,10,FALSE))</f>
        <v/>
      </c>
      <c r="B85" s="148" t="str">
        <f>IF(C85="","",VLOOKUP('Opći dio'!$C$3,'Opći dio'!$L$6:$U$135,9,FALSE))</f>
        <v/>
      </c>
      <c r="C85" s="154"/>
      <c r="D85" s="149" t="str">
        <f t="shared" si="12"/>
        <v/>
      </c>
      <c r="E85" s="154"/>
      <c r="F85" s="149" t="str">
        <f t="shared" si="11"/>
        <v/>
      </c>
      <c r="G85" s="201"/>
      <c r="H85" s="149" t="str">
        <f t="shared" si="13"/>
        <v/>
      </c>
      <c r="I85" s="198"/>
      <c r="J85" s="198"/>
      <c r="K85" s="198"/>
      <c r="M85" s="144" t="str">
        <f t="shared" si="14"/>
        <v/>
      </c>
      <c r="N85" s="144" t="str">
        <f t="shared" si="15"/>
        <v/>
      </c>
      <c r="R85" s="144">
        <v>4113</v>
      </c>
      <c r="S85" s="144" t="s">
        <v>210</v>
      </c>
      <c r="U85" s="144" t="str">
        <f t="shared" si="20"/>
        <v>41</v>
      </c>
      <c r="V85" s="144" t="str">
        <f t="shared" si="21"/>
        <v>411</v>
      </c>
    </row>
    <row r="86" spans="1:22">
      <c r="A86" s="148" t="str">
        <f>IF(C86="","",VLOOKUP('Opći dio'!$C$3,'Opći dio'!$L$6:$U$135,10,FALSE))</f>
        <v/>
      </c>
      <c r="B86" s="148" t="str">
        <f>IF(C86="","",VLOOKUP('Opći dio'!$C$3,'Opći dio'!$L$6:$U$135,9,FALSE))</f>
        <v/>
      </c>
      <c r="C86" s="154"/>
      <c r="D86" s="149" t="str">
        <f t="shared" si="12"/>
        <v/>
      </c>
      <c r="E86" s="154"/>
      <c r="F86" s="149" t="str">
        <f t="shared" si="11"/>
        <v/>
      </c>
      <c r="G86" s="201"/>
      <c r="H86" s="149" t="str">
        <f t="shared" si="13"/>
        <v/>
      </c>
      <c r="I86" s="198"/>
      <c r="J86" s="198"/>
      <c r="K86" s="198"/>
      <c r="M86" s="144" t="str">
        <f t="shared" si="14"/>
        <v/>
      </c>
      <c r="N86" s="144" t="str">
        <f t="shared" si="15"/>
        <v/>
      </c>
      <c r="R86" s="144">
        <v>4122</v>
      </c>
      <c r="S86" s="144" t="s">
        <v>177</v>
      </c>
      <c r="U86" s="144" t="str">
        <f t="shared" si="20"/>
        <v>41</v>
      </c>
      <c r="V86" s="144" t="str">
        <f t="shared" si="21"/>
        <v>412</v>
      </c>
    </row>
    <row r="87" spans="1:22">
      <c r="A87" s="148" t="str">
        <f>IF(C87="","",VLOOKUP('Opći dio'!$C$3,'Opći dio'!$L$6:$U$135,10,FALSE))</f>
        <v/>
      </c>
      <c r="B87" s="148" t="str">
        <f>IF(C87="","",VLOOKUP('Opći dio'!$C$3,'Opći dio'!$L$6:$U$135,9,FALSE))</f>
        <v/>
      </c>
      <c r="C87" s="154"/>
      <c r="D87" s="149" t="str">
        <f t="shared" si="12"/>
        <v/>
      </c>
      <c r="E87" s="154"/>
      <c r="F87" s="149" t="str">
        <f t="shared" si="11"/>
        <v/>
      </c>
      <c r="G87" s="201"/>
      <c r="H87" s="149" t="str">
        <f t="shared" si="13"/>
        <v/>
      </c>
      <c r="I87" s="198"/>
      <c r="J87" s="198"/>
      <c r="K87" s="198"/>
      <c r="M87" s="144" t="str">
        <f t="shared" si="14"/>
        <v/>
      </c>
      <c r="N87" s="144" t="str">
        <f t="shared" si="15"/>
        <v/>
      </c>
      <c r="R87" s="144">
        <v>4123</v>
      </c>
      <c r="S87" s="144" t="s">
        <v>148</v>
      </c>
      <c r="U87" s="144" t="str">
        <f t="shared" si="20"/>
        <v>41</v>
      </c>
      <c r="V87" s="144" t="str">
        <f t="shared" si="21"/>
        <v>412</v>
      </c>
    </row>
    <row r="88" spans="1:22">
      <c r="A88" s="148" t="str">
        <f>IF(C88="","",VLOOKUP('Opći dio'!$C$3,'Opći dio'!$L$6:$U$135,10,FALSE))</f>
        <v/>
      </c>
      <c r="B88" s="148" t="str">
        <f>IF(C88="","",VLOOKUP('Opći dio'!$C$3,'Opći dio'!$L$6:$U$135,9,FALSE))</f>
        <v/>
      </c>
      <c r="C88" s="154"/>
      <c r="D88" s="149" t="str">
        <f t="shared" si="12"/>
        <v/>
      </c>
      <c r="E88" s="154"/>
      <c r="F88" s="149" t="str">
        <f t="shared" si="11"/>
        <v/>
      </c>
      <c r="G88" s="201"/>
      <c r="H88" s="149" t="str">
        <f t="shared" si="13"/>
        <v/>
      </c>
      <c r="I88" s="198"/>
      <c r="J88" s="198"/>
      <c r="K88" s="198"/>
      <c r="M88" s="144" t="str">
        <f t="shared" si="14"/>
        <v/>
      </c>
      <c r="N88" s="144" t="str">
        <f t="shared" si="15"/>
        <v/>
      </c>
      <c r="R88" s="144">
        <v>4124</v>
      </c>
      <c r="S88" s="144" t="s">
        <v>133</v>
      </c>
      <c r="U88" s="144" t="str">
        <f t="shared" si="20"/>
        <v>41</v>
      </c>
      <c r="V88" s="144" t="str">
        <f t="shared" si="21"/>
        <v>412</v>
      </c>
    </row>
    <row r="89" spans="1:22">
      <c r="A89" s="148" t="str">
        <f>IF(C89="","",VLOOKUP('Opći dio'!$C$3,'Opći dio'!$L$6:$U$135,10,FALSE))</f>
        <v/>
      </c>
      <c r="B89" s="148" t="str">
        <f>IF(C89="","",VLOOKUP('Opći dio'!$C$3,'Opći dio'!$L$6:$U$135,9,FALSE))</f>
        <v/>
      </c>
      <c r="C89" s="154"/>
      <c r="D89" s="149" t="str">
        <f t="shared" si="12"/>
        <v/>
      </c>
      <c r="E89" s="154"/>
      <c r="F89" s="149" t="str">
        <f t="shared" si="11"/>
        <v/>
      </c>
      <c r="G89" s="201"/>
      <c r="H89" s="149" t="str">
        <f t="shared" si="13"/>
        <v/>
      </c>
      <c r="I89" s="198"/>
      <c r="J89" s="198"/>
      <c r="K89" s="198"/>
      <c r="M89" s="144" t="str">
        <f t="shared" si="14"/>
        <v/>
      </c>
      <c r="N89" s="144" t="str">
        <f t="shared" si="15"/>
        <v/>
      </c>
      <c r="R89" s="144">
        <v>4126</v>
      </c>
      <c r="S89" s="144" t="s">
        <v>178</v>
      </c>
      <c r="U89" s="144" t="str">
        <f t="shared" si="20"/>
        <v>41</v>
      </c>
      <c r="V89" s="144" t="str">
        <f t="shared" si="21"/>
        <v>412</v>
      </c>
    </row>
    <row r="90" spans="1:22">
      <c r="A90" s="148" t="str">
        <f>IF(C90="","",VLOOKUP('Opći dio'!$C$3,'Opći dio'!$L$6:$U$135,10,FALSE))</f>
        <v/>
      </c>
      <c r="B90" s="148" t="str">
        <f>IF(C90="","",VLOOKUP('Opći dio'!$C$3,'Opći dio'!$L$6:$U$135,9,FALSE))</f>
        <v/>
      </c>
      <c r="C90" s="154"/>
      <c r="D90" s="149" t="str">
        <f t="shared" si="12"/>
        <v/>
      </c>
      <c r="E90" s="154"/>
      <c r="F90" s="149" t="str">
        <f t="shared" si="11"/>
        <v/>
      </c>
      <c r="G90" s="201"/>
      <c r="H90" s="149" t="str">
        <f t="shared" si="13"/>
        <v/>
      </c>
      <c r="I90" s="198"/>
      <c r="J90" s="198"/>
      <c r="K90" s="198"/>
      <c r="M90" s="144" t="str">
        <f t="shared" si="14"/>
        <v/>
      </c>
      <c r="N90" s="144" t="str">
        <f t="shared" si="15"/>
        <v/>
      </c>
      <c r="R90" s="144">
        <v>4211</v>
      </c>
      <c r="S90" s="144" t="s">
        <v>192</v>
      </c>
      <c r="U90" s="144" t="str">
        <f t="shared" si="20"/>
        <v>42</v>
      </c>
      <c r="V90" s="144" t="str">
        <f t="shared" si="21"/>
        <v>421</v>
      </c>
    </row>
    <row r="91" spans="1:22">
      <c r="A91" s="148" t="str">
        <f>IF(C91="","",VLOOKUP('Opći dio'!$C$3,'Opći dio'!$L$6:$U$135,10,FALSE))</f>
        <v/>
      </c>
      <c r="B91" s="148" t="str">
        <f>IF(C91="","",VLOOKUP('Opći dio'!$C$3,'Opći dio'!$L$6:$U$135,9,FALSE))</f>
        <v/>
      </c>
      <c r="C91" s="154"/>
      <c r="D91" s="149" t="str">
        <f t="shared" si="12"/>
        <v/>
      </c>
      <c r="E91" s="154"/>
      <c r="F91" s="149" t="str">
        <f t="shared" si="11"/>
        <v/>
      </c>
      <c r="G91" s="201"/>
      <c r="H91" s="149" t="str">
        <f t="shared" si="13"/>
        <v/>
      </c>
      <c r="I91" s="198"/>
      <c r="J91" s="198"/>
      <c r="K91" s="198"/>
      <c r="M91" s="144" t="str">
        <f t="shared" si="14"/>
        <v/>
      </c>
      <c r="N91" s="144" t="str">
        <f t="shared" si="15"/>
        <v/>
      </c>
      <c r="R91" s="144">
        <v>4212</v>
      </c>
      <c r="S91" s="144" t="s">
        <v>79</v>
      </c>
      <c r="U91" s="144" t="str">
        <f t="shared" si="20"/>
        <v>42</v>
      </c>
      <c r="V91" s="144" t="str">
        <f t="shared" si="21"/>
        <v>421</v>
      </c>
    </row>
    <row r="92" spans="1:22">
      <c r="A92" s="148" t="str">
        <f>IF(C92="","",VLOOKUP('Opći dio'!$C$3,'Opći dio'!$L$6:$U$135,10,FALSE))</f>
        <v/>
      </c>
      <c r="B92" s="148" t="str">
        <f>IF(C92="","",VLOOKUP('Opći dio'!$C$3,'Opći dio'!$L$6:$U$135,9,FALSE))</f>
        <v/>
      </c>
      <c r="C92" s="154"/>
      <c r="D92" s="149" t="str">
        <f t="shared" si="12"/>
        <v/>
      </c>
      <c r="E92" s="154"/>
      <c r="F92" s="149" t="str">
        <f t="shared" si="11"/>
        <v/>
      </c>
      <c r="G92" s="201"/>
      <c r="H92" s="149" t="str">
        <f t="shared" si="13"/>
        <v/>
      </c>
      <c r="I92" s="198"/>
      <c r="J92" s="198"/>
      <c r="K92" s="198"/>
      <c r="M92" s="144" t="str">
        <f t="shared" si="14"/>
        <v/>
      </c>
      <c r="N92" s="144" t="str">
        <f t="shared" si="15"/>
        <v/>
      </c>
      <c r="R92" s="144">
        <v>4213</v>
      </c>
      <c r="S92" s="144" t="s">
        <v>179</v>
      </c>
      <c r="U92" s="144" t="str">
        <f t="shared" si="20"/>
        <v>42</v>
      </c>
      <c r="V92" s="144" t="str">
        <f t="shared" si="21"/>
        <v>421</v>
      </c>
    </row>
    <row r="93" spans="1:22">
      <c r="A93" s="148" t="str">
        <f>IF(C93="","",VLOOKUP('Opći dio'!$C$3,'Opći dio'!$L$6:$U$135,10,FALSE))</f>
        <v/>
      </c>
      <c r="B93" s="148" t="str">
        <f>IF(C93="","",VLOOKUP('Opći dio'!$C$3,'Opći dio'!$L$6:$U$135,9,FALSE))</f>
        <v/>
      </c>
      <c r="C93" s="154"/>
      <c r="D93" s="149" t="str">
        <f t="shared" si="12"/>
        <v/>
      </c>
      <c r="E93" s="154"/>
      <c r="F93" s="149" t="str">
        <f t="shared" si="11"/>
        <v/>
      </c>
      <c r="G93" s="201"/>
      <c r="H93" s="149" t="str">
        <f t="shared" si="13"/>
        <v/>
      </c>
      <c r="I93" s="198"/>
      <c r="J93" s="198"/>
      <c r="K93" s="198"/>
      <c r="M93" s="144" t="str">
        <f t="shared" si="14"/>
        <v/>
      </c>
      <c r="N93" s="144" t="str">
        <f t="shared" si="15"/>
        <v/>
      </c>
      <c r="R93" s="144">
        <v>4214</v>
      </c>
      <c r="S93" s="144" t="s">
        <v>180</v>
      </c>
      <c r="U93" s="144" t="str">
        <f t="shared" si="20"/>
        <v>42</v>
      </c>
      <c r="V93" s="144" t="str">
        <f t="shared" si="21"/>
        <v>421</v>
      </c>
    </row>
    <row r="94" spans="1:22">
      <c r="A94" s="148" t="str">
        <f>IF(C94="","",VLOOKUP('Opći dio'!$C$3,'Opći dio'!$L$6:$U$135,10,FALSE))</f>
        <v/>
      </c>
      <c r="B94" s="148" t="str">
        <f>IF(C94="","",VLOOKUP('Opći dio'!$C$3,'Opći dio'!$L$6:$U$135,9,FALSE))</f>
        <v/>
      </c>
      <c r="C94" s="154"/>
      <c r="D94" s="149" t="str">
        <f t="shared" si="12"/>
        <v/>
      </c>
      <c r="E94" s="154"/>
      <c r="F94" s="149" t="str">
        <f t="shared" si="11"/>
        <v/>
      </c>
      <c r="G94" s="201"/>
      <c r="H94" s="149" t="str">
        <f t="shared" si="13"/>
        <v/>
      </c>
      <c r="I94" s="198"/>
      <c r="J94" s="198"/>
      <c r="K94" s="198"/>
      <c r="M94" s="144" t="str">
        <f t="shared" si="14"/>
        <v/>
      </c>
      <c r="N94" s="144" t="str">
        <f t="shared" si="15"/>
        <v/>
      </c>
      <c r="R94" s="144">
        <v>4221</v>
      </c>
      <c r="S94" s="144" t="s">
        <v>114</v>
      </c>
      <c r="U94" s="144" t="str">
        <f t="shared" si="20"/>
        <v>42</v>
      </c>
      <c r="V94" s="144" t="str">
        <f t="shared" si="21"/>
        <v>422</v>
      </c>
    </row>
    <row r="95" spans="1:22">
      <c r="A95" s="148" t="str">
        <f>IF(C95="","",VLOOKUP('Opći dio'!$C$3,'Opći dio'!$L$6:$U$135,10,FALSE))</f>
        <v/>
      </c>
      <c r="B95" s="148" t="str">
        <f>IF(C95="","",VLOOKUP('Opći dio'!$C$3,'Opći dio'!$L$6:$U$135,9,FALSE))</f>
        <v/>
      </c>
      <c r="C95" s="154"/>
      <c r="D95" s="149" t="str">
        <f t="shared" si="12"/>
        <v/>
      </c>
      <c r="E95" s="154"/>
      <c r="F95" s="149" t="str">
        <f t="shared" si="11"/>
        <v/>
      </c>
      <c r="G95" s="201"/>
      <c r="H95" s="149" t="str">
        <f t="shared" si="13"/>
        <v/>
      </c>
      <c r="I95" s="198"/>
      <c r="J95" s="198"/>
      <c r="K95" s="198"/>
      <c r="M95" s="144" t="str">
        <f t="shared" si="14"/>
        <v/>
      </c>
      <c r="N95" s="144" t="str">
        <f t="shared" si="15"/>
        <v/>
      </c>
      <c r="R95" s="144">
        <v>4222</v>
      </c>
      <c r="S95" s="144" t="s">
        <v>125</v>
      </c>
      <c r="U95" s="144" t="str">
        <f t="shared" si="20"/>
        <v>42</v>
      </c>
      <c r="V95" s="144" t="str">
        <f t="shared" si="21"/>
        <v>422</v>
      </c>
    </row>
    <row r="96" spans="1:22">
      <c r="A96" s="148" t="str">
        <f>IF(C96="","",VLOOKUP('Opći dio'!$C$3,'Opći dio'!$L$6:$U$135,10,FALSE))</f>
        <v/>
      </c>
      <c r="B96" s="148" t="str">
        <f>IF(C96="","",VLOOKUP('Opći dio'!$C$3,'Opći dio'!$L$6:$U$135,9,FALSE))</f>
        <v/>
      </c>
      <c r="C96" s="154"/>
      <c r="D96" s="149" t="str">
        <f t="shared" si="12"/>
        <v/>
      </c>
      <c r="E96" s="154"/>
      <c r="F96" s="149" t="str">
        <f t="shared" si="11"/>
        <v/>
      </c>
      <c r="G96" s="201"/>
      <c r="H96" s="149" t="str">
        <f t="shared" si="13"/>
        <v/>
      </c>
      <c r="I96" s="198"/>
      <c r="J96" s="198"/>
      <c r="K96" s="198"/>
      <c r="M96" s="144" t="str">
        <f t="shared" si="14"/>
        <v/>
      </c>
      <c r="N96" s="144" t="str">
        <f t="shared" si="15"/>
        <v/>
      </c>
      <c r="R96" s="144">
        <v>4223</v>
      </c>
      <c r="S96" s="144" t="s">
        <v>138</v>
      </c>
      <c r="U96" s="144" t="str">
        <f t="shared" si="20"/>
        <v>42</v>
      </c>
      <c r="V96" s="144" t="str">
        <f t="shared" si="21"/>
        <v>422</v>
      </c>
    </row>
    <row r="97" spans="1:22">
      <c r="A97" s="148" t="str">
        <f>IF(C97="","",VLOOKUP('Opći dio'!$C$3,'Opći dio'!$L$6:$U$135,10,FALSE))</f>
        <v/>
      </c>
      <c r="B97" s="148" t="str">
        <f>IF(C97="","",VLOOKUP('Opći dio'!$C$3,'Opći dio'!$L$6:$U$135,9,FALSE))</f>
        <v/>
      </c>
      <c r="C97" s="154"/>
      <c r="D97" s="149" t="str">
        <f t="shared" si="12"/>
        <v/>
      </c>
      <c r="E97" s="154"/>
      <c r="F97" s="149" t="str">
        <f t="shared" si="11"/>
        <v/>
      </c>
      <c r="G97" s="201"/>
      <c r="H97" s="149" t="str">
        <f t="shared" si="13"/>
        <v/>
      </c>
      <c r="I97" s="198"/>
      <c r="J97" s="198"/>
      <c r="K97" s="198"/>
      <c r="M97" s="144" t="str">
        <f t="shared" si="14"/>
        <v/>
      </c>
      <c r="N97" s="144" t="str">
        <f t="shared" si="15"/>
        <v/>
      </c>
      <c r="R97" s="144">
        <v>4224</v>
      </c>
      <c r="S97" s="144" t="s">
        <v>131</v>
      </c>
      <c r="U97" s="144" t="str">
        <f t="shared" si="20"/>
        <v>42</v>
      </c>
      <c r="V97" s="144" t="str">
        <f t="shared" si="21"/>
        <v>422</v>
      </c>
    </row>
    <row r="98" spans="1:22">
      <c r="A98" s="148" t="str">
        <f>IF(C98="","",VLOOKUP('Opći dio'!$C$3,'Opći dio'!$L$6:$U$135,10,FALSE))</f>
        <v/>
      </c>
      <c r="B98" s="148" t="str">
        <f>IF(C98="","",VLOOKUP('Opći dio'!$C$3,'Opći dio'!$L$6:$U$135,9,FALSE))</f>
        <v/>
      </c>
      <c r="C98" s="154"/>
      <c r="D98" s="149" t="str">
        <f t="shared" si="12"/>
        <v/>
      </c>
      <c r="E98" s="154"/>
      <c r="F98" s="149" t="str">
        <f t="shared" si="11"/>
        <v/>
      </c>
      <c r="G98" s="201"/>
      <c r="H98" s="149" t="str">
        <f t="shared" si="13"/>
        <v/>
      </c>
      <c r="I98" s="198"/>
      <c r="J98" s="198"/>
      <c r="K98" s="198"/>
      <c r="M98" s="144" t="str">
        <f t="shared" si="14"/>
        <v/>
      </c>
      <c r="N98" s="144" t="str">
        <f t="shared" si="15"/>
        <v/>
      </c>
      <c r="R98" s="144">
        <v>4225</v>
      </c>
      <c r="S98" s="144" t="s">
        <v>135</v>
      </c>
      <c r="U98" s="144" t="str">
        <f t="shared" si="20"/>
        <v>42</v>
      </c>
      <c r="V98" s="144" t="str">
        <f t="shared" si="21"/>
        <v>422</v>
      </c>
    </row>
    <row r="99" spans="1:22">
      <c r="A99" s="148" t="str">
        <f>IF(C99="","",VLOOKUP('Opći dio'!$C$3,'Opći dio'!$L$6:$U$135,10,FALSE))</f>
        <v/>
      </c>
      <c r="B99" s="148" t="str">
        <f>IF(C99="","",VLOOKUP('Opći dio'!$C$3,'Opći dio'!$L$6:$U$135,9,FALSE))</f>
        <v/>
      </c>
      <c r="C99" s="154"/>
      <c r="D99" s="149" t="str">
        <f t="shared" si="12"/>
        <v/>
      </c>
      <c r="E99" s="154"/>
      <c r="F99" s="149" t="str">
        <f t="shared" si="11"/>
        <v/>
      </c>
      <c r="G99" s="201"/>
      <c r="H99" s="149" t="str">
        <f t="shared" si="13"/>
        <v/>
      </c>
      <c r="I99" s="198"/>
      <c r="J99" s="198"/>
      <c r="K99" s="198"/>
      <c r="M99" s="144" t="str">
        <f t="shared" si="14"/>
        <v/>
      </c>
      <c r="N99" s="144" t="str">
        <f t="shared" si="15"/>
        <v/>
      </c>
      <c r="R99" s="144">
        <v>4226</v>
      </c>
      <c r="S99" s="144" t="s">
        <v>181</v>
      </c>
      <c r="U99" s="144" t="str">
        <f t="shared" si="20"/>
        <v>42</v>
      </c>
      <c r="V99" s="144" t="str">
        <f t="shared" si="21"/>
        <v>422</v>
      </c>
    </row>
    <row r="100" spans="1:22">
      <c r="A100" s="148" t="str">
        <f>IF(C100="","",VLOOKUP('Opći dio'!$C$3,'Opći dio'!$L$6:$U$135,10,FALSE))</f>
        <v/>
      </c>
      <c r="B100" s="148" t="str">
        <f>IF(C100="","",VLOOKUP('Opći dio'!$C$3,'Opći dio'!$L$6:$U$135,9,FALSE))</f>
        <v/>
      </c>
      <c r="C100" s="154"/>
      <c r="D100" s="149" t="str">
        <f t="shared" si="12"/>
        <v/>
      </c>
      <c r="E100" s="154"/>
      <c r="F100" s="149" t="str">
        <f t="shared" si="11"/>
        <v/>
      </c>
      <c r="G100" s="201"/>
      <c r="H100" s="149" t="str">
        <f t="shared" si="13"/>
        <v/>
      </c>
      <c r="I100" s="198"/>
      <c r="J100" s="198"/>
      <c r="K100" s="198"/>
      <c r="M100" s="144" t="str">
        <f t="shared" si="14"/>
        <v/>
      </c>
      <c r="N100" s="144" t="str">
        <f t="shared" si="15"/>
        <v/>
      </c>
      <c r="R100" s="144">
        <v>4227</v>
      </c>
      <c r="S100" s="144" t="s">
        <v>149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str">
        <f>IF(C101="","",VLOOKUP('Opći dio'!$C$3,'Opći dio'!$L$6:$U$135,10,FALSE))</f>
        <v/>
      </c>
      <c r="B101" s="148" t="str">
        <f>IF(C101="","",VLOOKUP('Opći dio'!$C$3,'Opći dio'!$L$6:$U$135,9,FALSE))</f>
        <v/>
      </c>
      <c r="C101" s="154"/>
      <c r="D101" s="149" t="str">
        <f t="shared" si="12"/>
        <v/>
      </c>
      <c r="E101" s="154"/>
      <c r="F101" s="149" t="str">
        <f t="shared" si="11"/>
        <v/>
      </c>
      <c r="G101" s="201"/>
      <c r="H101" s="149" t="str">
        <f t="shared" si="13"/>
        <v/>
      </c>
      <c r="I101" s="198"/>
      <c r="J101" s="198"/>
      <c r="K101" s="198"/>
      <c r="M101" s="144" t="str">
        <f t="shared" si="14"/>
        <v/>
      </c>
      <c r="N101" s="144" t="str">
        <f t="shared" si="15"/>
        <v/>
      </c>
      <c r="R101" s="144">
        <v>4231</v>
      </c>
      <c r="S101" s="144" t="s">
        <v>182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str">
        <f>IF(C102="","",VLOOKUP('Opći dio'!$C$3,'Opći dio'!$L$6:$U$135,10,FALSE))</f>
        <v/>
      </c>
      <c r="B102" s="148" t="str">
        <f>IF(C102="","",VLOOKUP('Opći dio'!$C$3,'Opći dio'!$L$6:$U$135,9,FALSE))</f>
        <v/>
      </c>
      <c r="C102" s="154"/>
      <c r="D102" s="149" t="str">
        <f t="shared" si="12"/>
        <v/>
      </c>
      <c r="E102" s="154"/>
      <c r="F102" s="149" t="str">
        <f t="shared" si="11"/>
        <v/>
      </c>
      <c r="G102" s="201"/>
      <c r="H102" s="149" t="str">
        <f t="shared" si="13"/>
        <v/>
      </c>
      <c r="I102" s="198"/>
      <c r="J102" s="198"/>
      <c r="K102" s="198"/>
      <c r="M102" s="144" t="str">
        <f t="shared" si="14"/>
        <v/>
      </c>
      <c r="N102" s="144" t="str">
        <f t="shared" si="15"/>
        <v/>
      </c>
      <c r="R102" s="144">
        <v>4233</v>
      </c>
      <c r="S102" s="144" t="s">
        <v>190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str">
        <f>IF(C103="","",VLOOKUP('Opći dio'!$C$3,'Opći dio'!$L$6:$U$135,10,FALSE))</f>
        <v/>
      </c>
      <c r="B103" s="148" t="str">
        <f>IF(C103="","",VLOOKUP('Opći dio'!$C$3,'Opći dio'!$L$6:$U$135,9,FALSE))</f>
        <v/>
      </c>
      <c r="C103" s="154"/>
      <c r="D103" s="149" t="str">
        <f t="shared" si="12"/>
        <v/>
      </c>
      <c r="E103" s="154"/>
      <c r="F103" s="149" t="str">
        <f t="shared" si="11"/>
        <v/>
      </c>
      <c r="G103" s="201"/>
      <c r="H103" s="149" t="str">
        <f t="shared" si="13"/>
        <v/>
      </c>
      <c r="I103" s="198"/>
      <c r="J103" s="198"/>
      <c r="K103" s="198"/>
      <c r="M103" s="144" t="str">
        <f t="shared" si="14"/>
        <v/>
      </c>
      <c r="N103" s="144" t="str">
        <f t="shared" si="15"/>
        <v/>
      </c>
      <c r="R103" s="144">
        <v>4241</v>
      </c>
      <c r="S103" s="144" t="s">
        <v>126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str">
        <f>IF(C104="","",VLOOKUP('Opći dio'!$C$3,'Opći dio'!$L$6:$U$135,10,FALSE))</f>
        <v/>
      </c>
      <c r="B104" s="148" t="str">
        <f>IF(C104="","",VLOOKUP('Opći dio'!$C$3,'Opći dio'!$L$6:$U$135,9,FALSE))</f>
        <v/>
      </c>
      <c r="C104" s="154"/>
      <c r="D104" s="149" t="str">
        <f t="shared" si="12"/>
        <v/>
      </c>
      <c r="E104" s="154"/>
      <c r="F104" s="149" t="str">
        <f t="shared" si="11"/>
        <v/>
      </c>
      <c r="G104" s="201"/>
      <c r="H104" s="149" t="str">
        <f t="shared" si="13"/>
        <v/>
      </c>
      <c r="I104" s="198"/>
      <c r="J104" s="198"/>
      <c r="K104" s="198"/>
      <c r="M104" s="144" t="str">
        <f t="shared" si="14"/>
        <v/>
      </c>
      <c r="N104" s="144" t="str">
        <f t="shared" si="15"/>
        <v/>
      </c>
      <c r="R104" s="144">
        <v>4242</v>
      </c>
      <c r="S104" s="144" t="s">
        <v>159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str">
        <f>IF(C105="","",VLOOKUP('Opći dio'!$C$3,'Opći dio'!$L$6:$U$135,10,FALSE))</f>
        <v/>
      </c>
      <c r="B105" s="148" t="str">
        <f>IF(C105="","",VLOOKUP('Opći dio'!$C$3,'Opći dio'!$L$6:$U$135,9,FALSE))</f>
        <v/>
      </c>
      <c r="C105" s="154"/>
      <c r="D105" s="149" t="str">
        <f t="shared" si="12"/>
        <v/>
      </c>
      <c r="E105" s="154"/>
      <c r="F105" s="149" t="str">
        <f t="shared" si="11"/>
        <v/>
      </c>
      <c r="G105" s="201"/>
      <c r="H105" s="149" t="str">
        <f t="shared" si="13"/>
        <v/>
      </c>
      <c r="I105" s="198"/>
      <c r="J105" s="198"/>
      <c r="K105" s="198"/>
      <c r="M105" s="144" t="str">
        <f t="shared" si="14"/>
        <v/>
      </c>
      <c r="N105" s="144" t="str">
        <f t="shared" si="15"/>
        <v/>
      </c>
      <c r="R105" s="144">
        <v>4244</v>
      </c>
      <c r="S105" s="144" t="s">
        <v>191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str">
        <f>IF(C106="","",VLOOKUP('Opći dio'!$C$3,'Opći dio'!$L$6:$U$135,10,FALSE))</f>
        <v/>
      </c>
      <c r="B106" s="148" t="str">
        <f>IF(C106="","",VLOOKUP('Opći dio'!$C$3,'Opći dio'!$L$6:$U$135,9,FALSE))</f>
        <v/>
      </c>
      <c r="C106" s="154"/>
      <c r="D106" s="149" t="str">
        <f t="shared" si="12"/>
        <v/>
      </c>
      <c r="E106" s="154"/>
      <c r="F106" s="149" t="str">
        <f t="shared" si="11"/>
        <v/>
      </c>
      <c r="G106" s="201"/>
      <c r="H106" s="149" t="str">
        <f t="shared" si="13"/>
        <v/>
      </c>
      <c r="I106" s="198"/>
      <c r="J106" s="198"/>
      <c r="K106" s="198"/>
      <c r="M106" s="144" t="str">
        <f t="shared" si="14"/>
        <v/>
      </c>
      <c r="N106" s="144" t="str">
        <f t="shared" si="15"/>
        <v/>
      </c>
      <c r="R106" s="144">
        <v>4251</v>
      </c>
      <c r="S106" s="144" t="s">
        <v>183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str">
        <f>IF(C107="","",VLOOKUP('Opći dio'!$C$3,'Opći dio'!$L$6:$U$135,10,FALSE))</f>
        <v/>
      </c>
      <c r="B107" s="148" t="str">
        <f>IF(C107="","",VLOOKUP('Opći dio'!$C$3,'Opći dio'!$L$6:$U$135,9,FALSE))</f>
        <v/>
      </c>
      <c r="C107" s="154"/>
      <c r="D107" s="149" t="str">
        <f t="shared" si="12"/>
        <v/>
      </c>
      <c r="E107" s="154"/>
      <c r="F107" s="149" t="str">
        <f t="shared" si="11"/>
        <v/>
      </c>
      <c r="G107" s="201"/>
      <c r="H107" s="149" t="str">
        <f t="shared" si="13"/>
        <v/>
      </c>
      <c r="I107" s="198"/>
      <c r="J107" s="198"/>
      <c r="K107" s="198"/>
      <c r="M107" s="144" t="str">
        <f t="shared" si="14"/>
        <v/>
      </c>
      <c r="N107" s="144" t="str">
        <f t="shared" si="15"/>
        <v/>
      </c>
      <c r="R107" s="144">
        <v>4252</v>
      </c>
      <c r="S107" s="144" t="s">
        <v>184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str">
        <f>IF(C108="","",VLOOKUP('Opći dio'!$C$3,'Opći dio'!$L$6:$U$135,10,FALSE))</f>
        <v/>
      </c>
      <c r="B108" s="148" t="str">
        <f>IF(C108="","",VLOOKUP('Opći dio'!$C$3,'Opći dio'!$L$6:$U$135,9,FALSE))</f>
        <v/>
      </c>
      <c r="C108" s="154"/>
      <c r="D108" s="149" t="str">
        <f t="shared" si="12"/>
        <v/>
      </c>
      <c r="E108" s="154"/>
      <c r="F108" s="149" t="str">
        <f t="shared" si="11"/>
        <v/>
      </c>
      <c r="G108" s="201"/>
      <c r="H108" s="149" t="str">
        <f t="shared" si="13"/>
        <v/>
      </c>
      <c r="I108" s="198"/>
      <c r="J108" s="198"/>
      <c r="K108" s="198"/>
      <c r="M108" s="144" t="str">
        <f t="shared" si="14"/>
        <v/>
      </c>
      <c r="N108" s="144" t="str">
        <f t="shared" si="15"/>
        <v/>
      </c>
      <c r="R108" s="144">
        <v>4262</v>
      </c>
      <c r="S108" s="144" t="s">
        <v>127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str">
        <f>IF(C109="","",VLOOKUP('Opći dio'!$C$3,'Opći dio'!$L$6:$U$135,10,FALSE))</f>
        <v/>
      </c>
      <c r="B109" s="148" t="str">
        <f>IF(C109="","",VLOOKUP('Opći dio'!$C$3,'Opći dio'!$L$6:$U$135,9,FALSE))</f>
        <v/>
      </c>
      <c r="C109" s="154"/>
      <c r="D109" s="149" t="str">
        <f t="shared" si="12"/>
        <v/>
      </c>
      <c r="E109" s="154"/>
      <c r="F109" s="149" t="str">
        <f t="shared" si="11"/>
        <v/>
      </c>
      <c r="G109" s="201"/>
      <c r="H109" s="149" t="str">
        <f t="shared" si="13"/>
        <v/>
      </c>
      <c r="I109" s="198"/>
      <c r="J109" s="198"/>
      <c r="K109" s="198"/>
      <c r="M109" s="144" t="str">
        <f t="shared" si="14"/>
        <v/>
      </c>
      <c r="N109" s="144" t="str">
        <f t="shared" si="15"/>
        <v/>
      </c>
      <c r="R109" s="144">
        <v>4263</v>
      </c>
      <c r="S109" s="144" t="s">
        <v>185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str">
        <f>IF(C110="","",VLOOKUP('Opći dio'!$C$3,'Opći dio'!$L$6:$U$135,10,FALSE))</f>
        <v/>
      </c>
      <c r="B110" s="148" t="str">
        <f>IF(C110="","",VLOOKUP('Opći dio'!$C$3,'Opći dio'!$L$6:$U$135,9,FALSE))</f>
        <v/>
      </c>
      <c r="C110" s="154"/>
      <c r="D110" s="149" t="str">
        <f t="shared" si="12"/>
        <v/>
      </c>
      <c r="E110" s="154"/>
      <c r="F110" s="149" t="str">
        <f t="shared" si="11"/>
        <v/>
      </c>
      <c r="G110" s="201"/>
      <c r="H110" s="149" t="str">
        <f t="shared" si="13"/>
        <v/>
      </c>
      <c r="I110" s="198"/>
      <c r="J110" s="198"/>
      <c r="K110" s="198"/>
      <c r="M110" s="144" t="str">
        <f t="shared" si="14"/>
        <v/>
      </c>
      <c r="N110" s="144" t="str">
        <f t="shared" si="15"/>
        <v/>
      </c>
      <c r="R110" s="144">
        <v>4264</v>
      </c>
      <c r="S110" s="144" t="s">
        <v>139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str">
        <f>IF(C111="","",VLOOKUP('Opći dio'!$C$3,'Opći dio'!$L$6:$U$135,10,FALSE))</f>
        <v/>
      </c>
      <c r="B111" s="148" t="str">
        <f>IF(C111="","",VLOOKUP('Opći dio'!$C$3,'Opći dio'!$L$6:$U$135,9,FALSE))</f>
        <v/>
      </c>
      <c r="C111" s="154"/>
      <c r="D111" s="149" t="str">
        <f t="shared" si="12"/>
        <v/>
      </c>
      <c r="E111" s="154"/>
      <c r="F111" s="149" t="str">
        <f t="shared" si="11"/>
        <v/>
      </c>
      <c r="G111" s="201"/>
      <c r="H111" s="149" t="str">
        <f t="shared" si="13"/>
        <v/>
      </c>
      <c r="I111" s="198"/>
      <c r="J111" s="198"/>
      <c r="K111" s="198"/>
      <c r="M111" s="144" t="str">
        <f t="shared" si="14"/>
        <v/>
      </c>
      <c r="N111" s="144" t="str">
        <f t="shared" si="15"/>
        <v/>
      </c>
      <c r="R111" s="144">
        <v>4312</v>
      </c>
      <c r="S111" s="144" t="s">
        <v>141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str">
        <f>IF(C112="","",VLOOKUP('Opći dio'!$C$3,'Opći dio'!$L$6:$U$135,10,FALSE))</f>
        <v/>
      </c>
      <c r="B112" s="148" t="str">
        <f>IF(C112="","",VLOOKUP('Opći dio'!$C$3,'Opći dio'!$L$6:$U$135,9,FALSE))</f>
        <v/>
      </c>
      <c r="C112" s="154"/>
      <c r="D112" s="149" t="str">
        <f t="shared" si="12"/>
        <v/>
      </c>
      <c r="E112" s="154"/>
      <c r="F112" s="149" t="str">
        <f t="shared" si="11"/>
        <v/>
      </c>
      <c r="G112" s="201"/>
      <c r="H112" s="149" t="str">
        <f t="shared" si="13"/>
        <v/>
      </c>
      <c r="I112" s="198"/>
      <c r="J112" s="198"/>
      <c r="K112" s="198"/>
      <c r="M112" s="144" t="str">
        <f t="shared" si="14"/>
        <v/>
      </c>
      <c r="N112" s="144" t="str">
        <f t="shared" si="15"/>
        <v/>
      </c>
      <c r="R112" s="144">
        <v>4411</v>
      </c>
      <c r="S112" s="144" t="s">
        <v>186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str">
        <f>IF(C113="","",VLOOKUP('Opći dio'!$C$3,'Opći dio'!$L$6:$U$135,10,FALSE))</f>
        <v/>
      </c>
      <c r="B113" s="148" t="str">
        <f>IF(C113="","",VLOOKUP('Opći dio'!$C$3,'Opći dio'!$L$6:$U$135,9,FALSE))</f>
        <v/>
      </c>
      <c r="C113" s="154"/>
      <c r="D113" s="149" t="str">
        <f t="shared" si="12"/>
        <v/>
      </c>
      <c r="E113" s="154"/>
      <c r="F113" s="149" t="str">
        <f t="shared" si="11"/>
        <v/>
      </c>
      <c r="G113" s="201"/>
      <c r="H113" s="149" t="str">
        <f t="shared" si="13"/>
        <v/>
      </c>
      <c r="I113" s="198"/>
      <c r="J113" s="198"/>
      <c r="K113" s="198"/>
      <c r="M113" s="144" t="str">
        <f t="shared" si="14"/>
        <v/>
      </c>
      <c r="N113" s="144" t="str">
        <f t="shared" si="15"/>
        <v/>
      </c>
      <c r="R113" s="144">
        <v>4511</v>
      </c>
      <c r="S113" s="144" t="s">
        <v>140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str">
        <f>IF(C114="","",VLOOKUP('Opći dio'!$C$3,'Opći dio'!$L$6:$U$135,10,FALSE))</f>
        <v/>
      </c>
      <c r="B114" s="148" t="str">
        <f>IF(C114="","",VLOOKUP('Opći dio'!$C$3,'Opći dio'!$L$6:$U$135,9,FALSE))</f>
        <v/>
      </c>
      <c r="C114" s="154"/>
      <c r="D114" s="149" t="str">
        <f t="shared" si="12"/>
        <v/>
      </c>
      <c r="E114" s="154"/>
      <c r="F114" s="149" t="str">
        <f t="shared" si="11"/>
        <v/>
      </c>
      <c r="G114" s="201"/>
      <c r="H114" s="149" t="str">
        <f t="shared" si="13"/>
        <v/>
      </c>
      <c r="I114" s="198"/>
      <c r="J114" s="198"/>
      <c r="K114" s="198"/>
      <c r="M114" s="144" t="str">
        <f t="shared" si="14"/>
        <v/>
      </c>
      <c r="N114" s="144" t="str">
        <f t="shared" si="15"/>
        <v/>
      </c>
      <c r="R114" s="144">
        <v>4521</v>
      </c>
      <c r="S114" s="144" t="s">
        <v>160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str">
        <f>IF(C115="","",VLOOKUP('Opći dio'!$C$3,'Opći dio'!$L$6:$U$135,10,FALSE))</f>
        <v/>
      </c>
      <c r="B115" s="148" t="str">
        <f>IF(C115="","",VLOOKUP('Opći dio'!$C$3,'Opći dio'!$L$6:$U$135,9,FALSE))</f>
        <v/>
      </c>
      <c r="C115" s="154"/>
      <c r="D115" s="149" t="str">
        <f t="shared" si="12"/>
        <v/>
      </c>
      <c r="E115" s="154"/>
      <c r="F115" s="149" t="str">
        <f t="shared" si="11"/>
        <v/>
      </c>
      <c r="G115" s="201"/>
      <c r="H115" s="149" t="str">
        <f t="shared" si="13"/>
        <v/>
      </c>
      <c r="I115" s="198"/>
      <c r="J115" s="198"/>
      <c r="K115" s="198"/>
      <c r="M115" s="144" t="str">
        <f t="shared" si="14"/>
        <v/>
      </c>
      <c r="N115" s="144" t="str">
        <f t="shared" si="15"/>
        <v/>
      </c>
      <c r="R115" s="144">
        <v>4531</v>
      </c>
      <c r="S115" s="144" t="s">
        <v>203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str">
        <f>IF(C116="","",VLOOKUP('Opći dio'!$C$3,'Opći dio'!$L$6:$U$135,10,FALSE))</f>
        <v/>
      </c>
      <c r="B116" s="148" t="str">
        <f>IF(C116="","",VLOOKUP('Opći dio'!$C$3,'Opći dio'!$L$6:$U$135,9,FALSE))</f>
        <v/>
      </c>
      <c r="C116" s="154"/>
      <c r="D116" s="149" t="str">
        <f t="shared" si="12"/>
        <v/>
      </c>
      <c r="E116" s="154"/>
      <c r="F116" s="149" t="str">
        <f t="shared" si="11"/>
        <v/>
      </c>
      <c r="G116" s="201"/>
      <c r="H116" s="149" t="str">
        <f t="shared" si="13"/>
        <v/>
      </c>
      <c r="I116" s="198"/>
      <c r="J116" s="198"/>
      <c r="K116" s="198"/>
      <c r="M116" s="144" t="str">
        <f t="shared" si="14"/>
        <v/>
      </c>
      <c r="N116" s="144" t="str">
        <f t="shared" si="15"/>
        <v/>
      </c>
      <c r="R116" s="144">
        <v>4541</v>
      </c>
      <c r="S116" s="144" t="s">
        <v>155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str">
        <f>IF(C117="","",VLOOKUP('Opći dio'!$C$3,'Opći dio'!$L$6:$U$135,10,FALSE))</f>
        <v/>
      </c>
      <c r="B117" s="148" t="str">
        <f>IF(C117="","",VLOOKUP('Opći dio'!$C$3,'Opći dio'!$L$6:$U$135,9,FALSE))</f>
        <v/>
      </c>
      <c r="C117" s="154"/>
      <c r="D117" s="149" t="str">
        <f t="shared" si="12"/>
        <v/>
      </c>
      <c r="E117" s="154"/>
      <c r="F117" s="149" t="str">
        <f t="shared" si="11"/>
        <v/>
      </c>
      <c r="G117" s="201"/>
      <c r="H117" s="149" t="str">
        <f t="shared" si="13"/>
        <v/>
      </c>
      <c r="I117" s="198"/>
      <c r="J117" s="198"/>
      <c r="K117" s="198"/>
      <c r="M117" s="144" t="str">
        <f t="shared" si="14"/>
        <v/>
      </c>
      <c r="N117" s="144" t="str">
        <f t="shared" si="15"/>
        <v/>
      </c>
      <c r="R117" s="144">
        <v>5121</v>
      </c>
      <c r="S117" s="144" t="s">
        <v>211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str">
        <f>IF(C118="","",VLOOKUP('Opći dio'!$C$3,'Opći dio'!$L$6:$U$135,10,FALSE))</f>
        <v/>
      </c>
      <c r="B118" s="148" t="str">
        <f>IF(C118="","",VLOOKUP('Opći dio'!$C$3,'Opći dio'!$L$6:$U$135,9,FALSE))</f>
        <v/>
      </c>
      <c r="C118" s="154"/>
      <c r="D118" s="149" t="str">
        <f t="shared" si="12"/>
        <v/>
      </c>
      <c r="E118" s="154"/>
      <c r="F118" s="149" t="str">
        <f t="shared" si="11"/>
        <v/>
      </c>
      <c r="G118" s="201"/>
      <c r="H118" s="149" t="str">
        <f t="shared" si="13"/>
        <v/>
      </c>
      <c r="I118" s="198"/>
      <c r="J118" s="198"/>
      <c r="K118" s="198"/>
      <c r="M118" s="144" t="str">
        <f t="shared" si="14"/>
        <v/>
      </c>
      <c r="N118" s="144" t="str">
        <f t="shared" si="15"/>
        <v/>
      </c>
      <c r="R118" s="144">
        <v>5443</v>
      </c>
      <c r="S118" s="144" t="s">
        <v>187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str">
        <f>IF(C119="","",VLOOKUP('Opći dio'!$C$3,'Opći dio'!$L$6:$U$135,10,FALSE))</f>
        <v/>
      </c>
      <c r="B119" s="148" t="str">
        <f>IF(C119="","",VLOOKUP('Opći dio'!$C$3,'Opći dio'!$L$6:$U$135,9,FALSE))</f>
        <v/>
      </c>
      <c r="C119" s="154"/>
      <c r="D119" s="149" t="str">
        <f t="shared" si="12"/>
        <v/>
      </c>
      <c r="E119" s="154"/>
      <c r="F119" s="149" t="str">
        <f t="shared" si="11"/>
        <v/>
      </c>
      <c r="G119" s="201"/>
      <c r="H119" s="149" t="str">
        <f t="shared" si="13"/>
        <v/>
      </c>
      <c r="I119" s="198"/>
      <c r="J119" s="198"/>
      <c r="K119" s="198"/>
      <c r="M119" s="144" t="str">
        <f t="shared" si="14"/>
        <v/>
      </c>
      <c r="N119" s="144" t="str">
        <f t="shared" si="15"/>
        <v/>
      </c>
      <c r="R119" s="144">
        <v>5121</v>
      </c>
      <c r="S119" s="144" t="s">
        <v>820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str">
        <f>IF(C120="","",VLOOKUP('Opći dio'!$C$3,'Opći dio'!$L$6:$U$135,10,FALSE))</f>
        <v/>
      </c>
      <c r="B120" s="148" t="str">
        <f>IF(C120="","",VLOOKUP('Opći dio'!$C$3,'Opći dio'!$L$6:$U$135,9,FALSE))</f>
        <v/>
      </c>
      <c r="C120" s="154"/>
      <c r="D120" s="149" t="str">
        <f t="shared" si="12"/>
        <v/>
      </c>
      <c r="E120" s="154"/>
      <c r="F120" s="149" t="str">
        <f t="shared" si="11"/>
        <v/>
      </c>
      <c r="G120" s="201"/>
      <c r="H120" s="149" t="str">
        <f t="shared" si="13"/>
        <v/>
      </c>
      <c r="I120" s="198"/>
      <c r="J120" s="198"/>
      <c r="K120" s="198"/>
      <c r="M120" s="144" t="str">
        <f t="shared" si="14"/>
        <v/>
      </c>
      <c r="N120" s="144" t="str">
        <f t="shared" si="15"/>
        <v/>
      </c>
      <c r="R120" s="144">
        <v>5122</v>
      </c>
      <c r="S120" s="144" t="s">
        <v>821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str">
        <f>IF(C121="","",VLOOKUP('Opći dio'!$C$3,'Opći dio'!$L$6:$U$135,10,FALSE))</f>
        <v/>
      </c>
      <c r="B121" s="148" t="str">
        <f>IF(C121="","",VLOOKUP('Opći dio'!$C$3,'Opći dio'!$L$6:$U$135,9,FALSE))</f>
        <v/>
      </c>
      <c r="C121" s="154"/>
      <c r="D121" s="149" t="str">
        <f t="shared" si="12"/>
        <v/>
      </c>
      <c r="E121" s="154"/>
      <c r="F121" s="149" t="str">
        <f t="shared" si="11"/>
        <v/>
      </c>
      <c r="G121" s="201"/>
      <c r="H121" s="149" t="str">
        <f t="shared" si="13"/>
        <v/>
      </c>
      <c r="I121" s="198"/>
      <c r="J121" s="198"/>
      <c r="K121" s="198"/>
      <c r="M121" s="144" t="str">
        <f t="shared" si="14"/>
        <v/>
      </c>
      <c r="N121" s="144" t="str">
        <f t="shared" si="15"/>
        <v/>
      </c>
      <c r="R121" s="144">
        <v>5141</v>
      </c>
      <c r="S121" s="144" t="s">
        <v>822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str">
        <f>IF(C122="","",VLOOKUP('Opći dio'!$C$3,'Opći dio'!$L$6:$U$135,10,FALSE))</f>
        <v/>
      </c>
      <c r="B122" s="148" t="str">
        <f>IF(C122="","",VLOOKUP('Opći dio'!$C$3,'Opći dio'!$L$6:$U$135,9,FALSE))</f>
        <v/>
      </c>
      <c r="C122" s="154"/>
      <c r="D122" s="149" t="str">
        <f t="shared" si="12"/>
        <v/>
      </c>
      <c r="E122" s="154"/>
      <c r="F122" s="149" t="str">
        <f t="shared" si="11"/>
        <v/>
      </c>
      <c r="G122" s="201"/>
      <c r="H122" s="149" t="str">
        <f t="shared" si="13"/>
        <v/>
      </c>
      <c r="I122" s="198"/>
      <c r="J122" s="198"/>
      <c r="K122" s="198"/>
      <c r="M122" s="144" t="str">
        <f t="shared" si="14"/>
        <v/>
      </c>
      <c r="N122" s="144" t="str">
        <f t="shared" si="15"/>
        <v/>
      </c>
      <c r="R122" s="144">
        <v>5181</v>
      </c>
      <c r="S122" s="144" t="s">
        <v>823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str">
        <f>IF(C123="","",VLOOKUP('Opći dio'!$C$3,'Opći dio'!$L$6:$U$135,10,FALSE))</f>
        <v/>
      </c>
      <c r="B123" s="148" t="str">
        <f>IF(C123="","",VLOOKUP('Opći dio'!$C$3,'Opći dio'!$L$6:$U$135,9,FALSE))</f>
        <v/>
      </c>
      <c r="C123" s="154"/>
      <c r="D123" s="149" t="str">
        <f t="shared" si="12"/>
        <v/>
      </c>
      <c r="E123" s="154"/>
      <c r="F123" s="149" t="str">
        <f t="shared" si="11"/>
        <v/>
      </c>
      <c r="G123" s="201"/>
      <c r="H123" s="149" t="str">
        <f t="shared" si="13"/>
        <v/>
      </c>
      <c r="I123" s="198"/>
      <c r="J123" s="198"/>
      <c r="K123" s="198"/>
      <c r="M123" s="144" t="str">
        <f t="shared" si="14"/>
        <v/>
      </c>
      <c r="N123" s="144" t="str">
        <f t="shared" si="15"/>
        <v/>
      </c>
      <c r="R123" s="144">
        <v>5183</v>
      </c>
      <c r="S123" s="144" t="s">
        <v>824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str">
        <f>IF(C124="","",VLOOKUP('Opći dio'!$C$3,'Opći dio'!$L$6:$U$135,10,FALSE))</f>
        <v/>
      </c>
      <c r="B124" s="148" t="str">
        <f>IF(C124="","",VLOOKUP('Opći dio'!$C$3,'Opći dio'!$L$6:$U$135,9,FALSE))</f>
        <v/>
      </c>
      <c r="C124" s="154"/>
      <c r="D124" s="149" t="str">
        <f t="shared" si="12"/>
        <v/>
      </c>
      <c r="E124" s="154"/>
      <c r="F124" s="149" t="str">
        <f t="shared" si="11"/>
        <v/>
      </c>
      <c r="G124" s="201"/>
      <c r="H124" s="149" t="str">
        <f t="shared" si="13"/>
        <v/>
      </c>
      <c r="I124" s="198"/>
      <c r="J124" s="198"/>
      <c r="K124" s="198"/>
      <c r="M124" s="144" t="str">
        <f t="shared" si="14"/>
        <v/>
      </c>
      <c r="N124" s="144" t="str">
        <f t="shared" si="15"/>
        <v/>
      </c>
      <c r="R124" s="144">
        <v>5422</v>
      </c>
      <c r="S124" s="144" t="s">
        <v>825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str">
        <f>IF(C125="","",VLOOKUP('Opći dio'!$C$3,'Opći dio'!$L$6:$U$135,10,FALSE))</f>
        <v/>
      </c>
      <c r="B125" s="148" t="str">
        <f>IF(C125="","",VLOOKUP('Opći dio'!$C$3,'Opći dio'!$L$6:$U$135,9,FALSE))</f>
        <v/>
      </c>
      <c r="C125" s="154"/>
      <c r="D125" s="149" t="str">
        <f t="shared" si="12"/>
        <v/>
      </c>
      <c r="E125" s="154"/>
      <c r="F125" s="149" t="str">
        <f t="shared" si="11"/>
        <v/>
      </c>
      <c r="G125" s="201"/>
      <c r="H125" s="149" t="str">
        <f t="shared" si="13"/>
        <v/>
      </c>
      <c r="I125" s="198"/>
      <c r="J125" s="198"/>
      <c r="K125" s="198"/>
      <c r="M125" s="144" t="str">
        <f t="shared" si="14"/>
        <v/>
      </c>
      <c r="N125" s="144" t="str">
        <f t="shared" si="15"/>
        <v/>
      </c>
      <c r="R125" s="144">
        <v>5431</v>
      </c>
      <c r="S125" s="144" t="s">
        <v>390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str">
        <f>IF(C126="","",VLOOKUP('Opći dio'!$C$3,'Opći dio'!$L$6:$U$135,10,FALSE))</f>
        <v/>
      </c>
      <c r="B126" s="148" t="str">
        <f>IF(C126="","",VLOOKUP('Opći dio'!$C$3,'Opći dio'!$L$6:$U$135,9,FALSE))</f>
        <v/>
      </c>
      <c r="C126" s="154"/>
      <c r="D126" s="149" t="str">
        <f t="shared" si="12"/>
        <v/>
      </c>
      <c r="E126" s="154"/>
      <c r="F126" s="149" t="str">
        <f t="shared" si="11"/>
        <v/>
      </c>
      <c r="G126" s="201"/>
      <c r="H126" s="149" t="str">
        <f t="shared" si="13"/>
        <v/>
      </c>
      <c r="I126" s="198"/>
      <c r="J126" s="198"/>
      <c r="K126" s="198"/>
      <c r="M126" s="144" t="str">
        <f t="shared" si="14"/>
        <v/>
      </c>
      <c r="N126" s="144" t="str">
        <f t="shared" si="15"/>
        <v/>
      </c>
      <c r="R126" s="144">
        <v>5443</v>
      </c>
      <c r="S126" s="144" t="s">
        <v>826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str">
        <f>IF(C127="","",VLOOKUP('Opći dio'!$C$3,'Opći dio'!$L$6:$U$135,10,FALSE))</f>
        <v/>
      </c>
      <c r="B127" s="148" t="str">
        <f>IF(C127="","",VLOOKUP('Opći dio'!$C$3,'Opći dio'!$L$6:$U$135,9,FALSE))</f>
        <v/>
      </c>
      <c r="C127" s="154"/>
      <c r="D127" s="149" t="str">
        <f t="shared" si="12"/>
        <v/>
      </c>
      <c r="E127" s="154"/>
      <c r="F127" s="149" t="str">
        <f t="shared" si="11"/>
        <v/>
      </c>
      <c r="G127" s="201"/>
      <c r="H127" s="149" t="str">
        <f t="shared" si="13"/>
        <v/>
      </c>
      <c r="I127" s="198"/>
      <c r="J127" s="198"/>
      <c r="K127" s="198"/>
      <c r="M127" s="144" t="str">
        <f t="shared" si="14"/>
        <v/>
      </c>
      <c r="N127" s="144" t="str">
        <f t="shared" si="15"/>
        <v/>
      </c>
      <c r="R127" s="144">
        <v>5445</v>
      </c>
      <c r="S127" s="144" t="s">
        <v>827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str">
        <f>IF(C128="","",VLOOKUP('Opći dio'!$C$3,'Opći dio'!$L$6:$U$135,10,FALSE))</f>
        <v/>
      </c>
      <c r="B128" s="148" t="str">
        <f>IF(C128="","",VLOOKUP('Opći dio'!$C$3,'Opći dio'!$L$6:$U$135,9,FALSE))</f>
        <v/>
      </c>
      <c r="C128" s="154"/>
      <c r="D128" s="149" t="str">
        <f t="shared" si="12"/>
        <v/>
      </c>
      <c r="E128" s="154"/>
      <c r="F128" s="149" t="str">
        <f t="shared" si="11"/>
        <v/>
      </c>
      <c r="G128" s="201"/>
      <c r="H128" s="149" t="str">
        <f t="shared" si="13"/>
        <v/>
      </c>
      <c r="I128" s="198"/>
      <c r="J128" s="198"/>
      <c r="K128" s="198"/>
      <c r="M128" s="144" t="str">
        <f t="shared" si="14"/>
        <v/>
      </c>
      <c r="N128" s="144" t="str">
        <f t="shared" si="15"/>
        <v/>
      </c>
      <c r="R128" s="144">
        <v>5453</v>
      </c>
      <c r="S128" s="144" t="s">
        <v>828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str">
        <f>IF(C129="","",VLOOKUP('Opći dio'!$C$3,'Opći dio'!$L$6:$U$135,10,FALSE))</f>
        <v/>
      </c>
      <c r="B129" s="148" t="str">
        <f>IF(C129="","",VLOOKUP('Opći dio'!$C$3,'Opći dio'!$L$6:$U$135,9,FALSE))</f>
        <v/>
      </c>
      <c r="C129" s="154"/>
      <c r="D129" s="149" t="str">
        <f t="shared" si="12"/>
        <v/>
      </c>
      <c r="E129" s="154"/>
      <c r="F129" s="149" t="str">
        <f t="shared" si="11"/>
        <v/>
      </c>
      <c r="G129" s="201"/>
      <c r="H129" s="149" t="str">
        <f t="shared" si="13"/>
        <v/>
      </c>
      <c r="I129" s="198"/>
      <c r="J129" s="198"/>
      <c r="K129" s="198"/>
      <c r="M129" s="144" t="str">
        <f t="shared" si="14"/>
        <v/>
      </c>
      <c r="N129" s="144" t="str">
        <f t="shared" si="15"/>
        <v/>
      </c>
      <c r="R129" s="144">
        <v>5472</v>
      </c>
      <c r="S129" s="144" t="s">
        <v>829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str">
        <f>IF(C130="","",VLOOKUP('Opći dio'!$C$3,'Opći dio'!$L$6:$U$135,10,FALSE))</f>
        <v/>
      </c>
      <c r="B130" s="148" t="str">
        <f>IF(C130="","",VLOOKUP('Opći dio'!$C$3,'Opći dio'!$L$6:$U$135,9,FALSE))</f>
        <v/>
      </c>
      <c r="C130" s="154"/>
      <c r="D130" s="149" t="str">
        <f t="shared" si="12"/>
        <v/>
      </c>
      <c r="E130" s="154"/>
      <c r="F130" s="149" t="str">
        <f t="shared" si="11"/>
        <v/>
      </c>
      <c r="G130" s="201"/>
      <c r="H130" s="149" t="str">
        <f t="shared" si="13"/>
        <v/>
      </c>
      <c r="I130" s="198"/>
      <c r="J130" s="198"/>
      <c r="K130" s="198"/>
      <c r="M130" s="144" t="str">
        <f t="shared" si="14"/>
        <v/>
      </c>
      <c r="N130" s="144" t="str">
        <f t="shared" si="15"/>
        <v/>
      </c>
    </row>
    <row r="131" spans="1:22">
      <c r="A131" s="148" t="str">
        <f>IF(C131="","",VLOOKUP('Opći dio'!$C$3,'Opći dio'!$L$6:$U$135,10,FALSE))</f>
        <v/>
      </c>
      <c r="B131" s="148" t="str">
        <f>IF(C131="","",VLOOKUP('Opći dio'!$C$3,'Opći dio'!$L$6:$U$135,9,FALSE))</f>
        <v/>
      </c>
      <c r="C131" s="154"/>
      <c r="D131" s="149" t="str">
        <f t="shared" si="12"/>
        <v/>
      </c>
      <c r="E131" s="154"/>
      <c r="F131" s="149" t="str">
        <f t="shared" ref="F131:F194" si="24">IFERROR(VLOOKUP(E131,$R$5:$T$129,2,FALSE),"")</f>
        <v/>
      </c>
      <c r="G131" s="201"/>
      <c r="H131" s="149" t="str">
        <f t="shared" si="13"/>
        <v/>
      </c>
      <c r="I131" s="198"/>
      <c r="J131" s="198"/>
      <c r="K131" s="198"/>
      <c r="M131" s="144" t="str">
        <f t="shared" si="14"/>
        <v/>
      </c>
      <c r="N131" s="144" t="str">
        <f t="shared" si="15"/>
        <v/>
      </c>
    </row>
    <row r="132" spans="1:22">
      <c r="A132" s="148" t="str">
        <f>IF(C132="","",VLOOKUP('Opći dio'!$C$3,'Opći dio'!$L$6:$U$135,10,FALSE))</f>
        <v/>
      </c>
      <c r="B132" s="148" t="str">
        <f>IF(C132="","",VLOOKUP('Opći dio'!$C$3,'Opći dio'!$L$6:$U$135,9,FALSE))</f>
        <v/>
      </c>
      <c r="C132" s="154"/>
      <c r="D132" s="149" t="str">
        <f t="shared" ref="D132:D195" si="25">IFERROR(VLOOKUP(C132,$O$6:$P$16,2,FALSE),"")</f>
        <v/>
      </c>
      <c r="E132" s="154"/>
      <c r="F132" s="149" t="str">
        <f t="shared" si="24"/>
        <v/>
      </c>
      <c r="G132" s="201"/>
      <c r="H132" s="149" t="str">
        <f t="shared" ref="H132:H195" si="26">IFERROR(VLOOKUP(G132,$X$6:$Y$50,2,FALSE),"")</f>
        <v/>
      </c>
      <c r="I132" s="198"/>
      <c r="J132" s="198"/>
      <c r="K132" s="198"/>
      <c r="M132" s="144" t="str">
        <f t="shared" ref="M132:M195" si="27">LEFT(E132,3)</f>
        <v/>
      </c>
      <c r="N132" s="144" t="str">
        <f t="shared" ref="N132:N195" si="28">LEFT(E132,2)</f>
        <v/>
      </c>
    </row>
    <row r="133" spans="1:22">
      <c r="A133" s="148" t="str">
        <f>IF(C133="","",VLOOKUP('Opći dio'!$C$3,'Opći dio'!$L$6:$U$135,10,FALSE))</f>
        <v/>
      </c>
      <c r="B133" s="148" t="str">
        <f>IF(C133="","",VLOOKUP('Opći dio'!$C$3,'Opći dio'!$L$6:$U$135,9,FALSE))</f>
        <v/>
      </c>
      <c r="C133" s="154"/>
      <c r="D133" s="149" t="str">
        <f t="shared" si="25"/>
        <v/>
      </c>
      <c r="E133" s="154"/>
      <c r="F133" s="149" t="str">
        <f t="shared" si="24"/>
        <v/>
      </c>
      <c r="G133" s="201"/>
      <c r="H133" s="149" t="str">
        <f t="shared" si="26"/>
        <v/>
      </c>
      <c r="I133" s="198"/>
      <c r="J133" s="198"/>
      <c r="K133" s="198"/>
      <c r="M133" s="144" t="str">
        <f t="shared" si="27"/>
        <v/>
      </c>
      <c r="N133" s="144" t="str">
        <f t="shared" si="28"/>
        <v/>
      </c>
    </row>
    <row r="134" spans="1:22">
      <c r="A134" s="148" t="str">
        <f>IF(C134="","",VLOOKUP('Opći dio'!$C$3,'Opći dio'!$L$6:$U$135,10,FALSE))</f>
        <v/>
      </c>
      <c r="B134" s="148" t="str">
        <f>IF(C134="","",VLOOKUP('Opći dio'!$C$3,'Opći dio'!$L$6:$U$135,9,FALSE))</f>
        <v/>
      </c>
      <c r="C134" s="154"/>
      <c r="D134" s="149" t="str">
        <f t="shared" si="25"/>
        <v/>
      </c>
      <c r="E134" s="154"/>
      <c r="F134" s="149" t="str">
        <f t="shared" si="24"/>
        <v/>
      </c>
      <c r="G134" s="201"/>
      <c r="H134" s="149" t="str">
        <f t="shared" si="26"/>
        <v/>
      </c>
      <c r="I134" s="198"/>
      <c r="J134" s="198"/>
      <c r="K134" s="198"/>
      <c r="M134" s="144" t="str">
        <f t="shared" si="27"/>
        <v/>
      </c>
      <c r="N134" s="144" t="str">
        <f t="shared" si="28"/>
        <v/>
      </c>
    </row>
    <row r="135" spans="1:22">
      <c r="A135" s="148" t="str">
        <f>IF(C135="","",VLOOKUP('Opći dio'!$C$3,'Opći dio'!$L$6:$U$135,10,FALSE))</f>
        <v/>
      </c>
      <c r="B135" s="148" t="str">
        <f>IF(C135="","",VLOOKUP('Opći dio'!$C$3,'Opći dio'!$L$6:$U$135,9,FALSE))</f>
        <v/>
      </c>
      <c r="C135" s="154"/>
      <c r="D135" s="149" t="str">
        <f t="shared" si="25"/>
        <v/>
      </c>
      <c r="E135" s="154"/>
      <c r="F135" s="149" t="str">
        <f t="shared" si="24"/>
        <v/>
      </c>
      <c r="G135" s="201"/>
      <c r="H135" s="149" t="str">
        <f t="shared" si="26"/>
        <v/>
      </c>
      <c r="I135" s="198"/>
      <c r="J135" s="198"/>
      <c r="K135" s="198"/>
      <c r="M135" s="144" t="str">
        <f t="shared" si="27"/>
        <v/>
      </c>
      <c r="N135" s="144" t="str">
        <f t="shared" si="28"/>
        <v/>
      </c>
    </row>
    <row r="136" spans="1:22">
      <c r="A136" s="148" t="str">
        <f>IF(C136="","",VLOOKUP('Opći dio'!$C$3,'Opći dio'!$L$6:$U$135,10,FALSE))</f>
        <v/>
      </c>
      <c r="B136" s="148" t="str">
        <f>IF(C136="","",VLOOKUP('Opći dio'!$C$3,'Opći dio'!$L$6:$U$135,9,FALSE))</f>
        <v/>
      </c>
      <c r="C136" s="154"/>
      <c r="D136" s="149" t="str">
        <f t="shared" si="25"/>
        <v/>
      </c>
      <c r="E136" s="154"/>
      <c r="F136" s="149" t="str">
        <f t="shared" si="24"/>
        <v/>
      </c>
      <c r="G136" s="201"/>
      <c r="H136" s="149" t="str">
        <f t="shared" si="26"/>
        <v/>
      </c>
      <c r="I136" s="198"/>
      <c r="J136" s="198"/>
      <c r="K136" s="198"/>
      <c r="M136" s="144" t="str">
        <f t="shared" si="27"/>
        <v/>
      </c>
      <c r="N136" s="144" t="str">
        <f t="shared" si="28"/>
        <v/>
      </c>
    </row>
    <row r="137" spans="1:22">
      <c r="A137" s="148" t="str">
        <f>IF(C137="","",VLOOKUP('Opći dio'!$C$3,'Opći dio'!$L$6:$U$135,10,FALSE))</f>
        <v/>
      </c>
      <c r="B137" s="148" t="str">
        <f>IF(C137="","",VLOOKUP('Opći dio'!$C$3,'Opći dio'!$L$6:$U$135,9,FALSE))</f>
        <v/>
      </c>
      <c r="C137" s="154"/>
      <c r="D137" s="149" t="str">
        <f t="shared" si="25"/>
        <v/>
      </c>
      <c r="E137" s="154"/>
      <c r="F137" s="149" t="str">
        <f t="shared" si="24"/>
        <v/>
      </c>
      <c r="G137" s="201"/>
      <c r="H137" s="149" t="str">
        <f t="shared" si="26"/>
        <v/>
      </c>
      <c r="I137" s="198"/>
      <c r="J137" s="198"/>
      <c r="K137" s="198"/>
      <c r="M137" s="144" t="str">
        <f t="shared" si="27"/>
        <v/>
      </c>
      <c r="N137" s="144" t="str">
        <f t="shared" si="28"/>
        <v/>
      </c>
    </row>
    <row r="138" spans="1:22">
      <c r="A138" s="148" t="str">
        <f>IF(C138="","",VLOOKUP('Opći dio'!$C$3,'Opći dio'!$L$6:$U$135,10,FALSE))</f>
        <v/>
      </c>
      <c r="B138" s="148" t="str">
        <f>IF(C138="","",VLOOKUP('Opći dio'!$C$3,'Opći dio'!$L$6:$U$135,9,FALSE))</f>
        <v/>
      </c>
      <c r="C138" s="154"/>
      <c r="D138" s="149" t="str">
        <f t="shared" si="25"/>
        <v/>
      </c>
      <c r="E138" s="154"/>
      <c r="F138" s="149" t="str">
        <f t="shared" si="24"/>
        <v/>
      </c>
      <c r="G138" s="201"/>
      <c r="H138" s="149" t="str">
        <f t="shared" si="26"/>
        <v/>
      </c>
      <c r="I138" s="198"/>
      <c r="J138" s="198"/>
      <c r="K138" s="198"/>
      <c r="M138" s="144" t="str">
        <f t="shared" si="27"/>
        <v/>
      </c>
      <c r="N138" s="144" t="str">
        <f t="shared" si="28"/>
        <v/>
      </c>
    </row>
    <row r="139" spans="1:22">
      <c r="A139" s="148" t="str">
        <f>IF(C139="","",VLOOKUP('Opći dio'!$C$3,'Opći dio'!$L$6:$U$135,10,FALSE))</f>
        <v/>
      </c>
      <c r="B139" s="148" t="str">
        <f>IF(C139="","",VLOOKUP('Opći dio'!$C$3,'Opći dio'!$L$6:$U$135,9,FALSE))</f>
        <v/>
      </c>
      <c r="C139" s="154"/>
      <c r="D139" s="149" t="str">
        <f t="shared" si="25"/>
        <v/>
      </c>
      <c r="E139" s="154"/>
      <c r="F139" s="149" t="str">
        <f t="shared" si="24"/>
        <v/>
      </c>
      <c r="G139" s="201"/>
      <c r="H139" s="149" t="str">
        <f t="shared" si="26"/>
        <v/>
      </c>
      <c r="I139" s="198"/>
      <c r="J139" s="198"/>
      <c r="K139" s="198"/>
      <c r="M139" s="144" t="str">
        <f t="shared" si="27"/>
        <v/>
      </c>
      <c r="N139" s="144" t="str">
        <f t="shared" si="28"/>
        <v/>
      </c>
    </row>
    <row r="140" spans="1:22">
      <c r="A140" s="148" t="str">
        <f>IF(C140="","",VLOOKUP('Opći dio'!$C$3,'Opći dio'!$L$6:$U$135,10,FALSE))</f>
        <v/>
      </c>
      <c r="B140" s="148" t="str">
        <f>IF(C140="","",VLOOKUP('Opći dio'!$C$3,'Opći dio'!$L$6:$U$135,9,FALSE))</f>
        <v/>
      </c>
      <c r="C140" s="154"/>
      <c r="D140" s="149" t="str">
        <f t="shared" si="25"/>
        <v/>
      </c>
      <c r="E140" s="154"/>
      <c r="F140" s="149" t="str">
        <f t="shared" si="24"/>
        <v/>
      </c>
      <c r="G140" s="201"/>
      <c r="H140" s="149" t="str">
        <f t="shared" si="26"/>
        <v/>
      </c>
      <c r="I140" s="198"/>
      <c r="J140" s="198"/>
      <c r="K140" s="198"/>
      <c r="M140" s="144" t="str">
        <f t="shared" si="27"/>
        <v/>
      </c>
      <c r="N140" s="144" t="str">
        <f t="shared" si="28"/>
        <v/>
      </c>
    </row>
    <row r="141" spans="1:22">
      <c r="A141" s="148" t="str">
        <f>IF(C141="","",VLOOKUP('Opći dio'!$C$3,'Opći dio'!$L$6:$U$135,10,FALSE))</f>
        <v/>
      </c>
      <c r="B141" s="148" t="str">
        <f>IF(C141="","",VLOOKUP('Opći dio'!$C$3,'Opći dio'!$L$6:$U$135,9,FALSE))</f>
        <v/>
      </c>
      <c r="C141" s="154"/>
      <c r="D141" s="149" t="str">
        <f t="shared" si="25"/>
        <v/>
      </c>
      <c r="E141" s="154"/>
      <c r="F141" s="149" t="str">
        <f t="shared" si="24"/>
        <v/>
      </c>
      <c r="G141" s="201"/>
      <c r="H141" s="149" t="str">
        <f t="shared" si="26"/>
        <v/>
      </c>
      <c r="I141" s="198"/>
      <c r="J141" s="198"/>
      <c r="K141" s="198"/>
      <c r="M141" s="144" t="str">
        <f t="shared" si="27"/>
        <v/>
      </c>
      <c r="N141" s="144" t="str">
        <f t="shared" si="28"/>
        <v/>
      </c>
    </row>
    <row r="142" spans="1:22">
      <c r="A142" s="148" t="str">
        <f>IF(C142="","",VLOOKUP('Opći dio'!$C$3,'Opći dio'!$L$6:$U$135,10,FALSE))</f>
        <v/>
      </c>
      <c r="B142" s="148" t="str">
        <f>IF(C142="","",VLOOKUP('Opći dio'!$C$3,'Opći dio'!$L$6:$U$135,9,FALSE))</f>
        <v/>
      </c>
      <c r="C142" s="154"/>
      <c r="D142" s="149" t="str">
        <f t="shared" si="25"/>
        <v/>
      </c>
      <c r="E142" s="154"/>
      <c r="F142" s="149" t="str">
        <f t="shared" si="24"/>
        <v/>
      </c>
      <c r="G142" s="201"/>
      <c r="H142" s="149" t="str">
        <f t="shared" si="26"/>
        <v/>
      </c>
      <c r="I142" s="198"/>
      <c r="J142" s="198"/>
      <c r="K142" s="198"/>
      <c r="M142" s="144" t="str">
        <f t="shared" si="27"/>
        <v/>
      </c>
      <c r="N142" s="144" t="str">
        <f t="shared" si="28"/>
        <v/>
      </c>
    </row>
    <row r="143" spans="1:22">
      <c r="A143" s="148" t="str">
        <f>IF(C143="","",VLOOKUP('Opći dio'!$C$3,'Opći dio'!$L$6:$U$135,10,FALSE))</f>
        <v/>
      </c>
      <c r="B143" s="148" t="str">
        <f>IF(C143="","",VLOOKUP('Opći dio'!$C$3,'Opći dio'!$L$6:$U$135,9,FALSE))</f>
        <v/>
      </c>
      <c r="C143" s="154"/>
      <c r="D143" s="149" t="str">
        <f t="shared" si="25"/>
        <v/>
      </c>
      <c r="E143" s="154"/>
      <c r="F143" s="149" t="str">
        <f t="shared" si="24"/>
        <v/>
      </c>
      <c r="G143" s="201"/>
      <c r="H143" s="149" t="str">
        <f t="shared" si="26"/>
        <v/>
      </c>
      <c r="I143" s="198"/>
      <c r="J143" s="198"/>
      <c r="K143" s="198"/>
      <c r="M143" s="144" t="str">
        <f t="shared" si="27"/>
        <v/>
      </c>
      <c r="N143" s="144" t="str">
        <f t="shared" si="28"/>
        <v/>
      </c>
    </row>
    <row r="144" spans="1:22">
      <c r="A144" s="148" t="str">
        <f>IF(C144="","",VLOOKUP('Opći dio'!$C$3,'Opći dio'!$L$6:$U$135,10,FALSE))</f>
        <v/>
      </c>
      <c r="B144" s="148" t="str">
        <f>IF(C144="","",VLOOKUP('Opći dio'!$C$3,'Opći dio'!$L$6:$U$135,9,FALSE))</f>
        <v/>
      </c>
      <c r="C144" s="154"/>
      <c r="D144" s="149" t="str">
        <f t="shared" si="25"/>
        <v/>
      </c>
      <c r="E144" s="154"/>
      <c r="F144" s="149" t="str">
        <f t="shared" si="24"/>
        <v/>
      </c>
      <c r="G144" s="201"/>
      <c r="H144" s="149" t="str">
        <f t="shared" si="26"/>
        <v/>
      </c>
      <c r="I144" s="198"/>
      <c r="J144" s="198"/>
      <c r="K144" s="198"/>
      <c r="M144" s="144" t="str">
        <f t="shared" si="27"/>
        <v/>
      </c>
      <c r="N144" s="144" t="str">
        <f t="shared" si="28"/>
        <v/>
      </c>
    </row>
    <row r="145" spans="1:14">
      <c r="A145" s="148" t="str">
        <f>IF(C145="","",VLOOKUP('Opći dio'!$C$3,'Opći dio'!$L$6:$U$135,10,FALSE))</f>
        <v/>
      </c>
      <c r="B145" s="148" t="str">
        <f>IF(C145="","",VLOOKUP('Opći dio'!$C$3,'Opći dio'!$L$6:$U$135,9,FALSE))</f>
        <v/>
      </c>
      <c r="C145" s="154"/>
      <c r="D145" s="149" t="str">
        <f t="shared" si="25"/>
        <v/>
      </c>
      <c r="E145" s="154"/>
      <c r="F145" s="149" t="str">
        <f t="shared" si="24"/>
        <v/>
      </c>
      <c r="G145" s="201"/>
      <c r="H145" s="149" t="str">
        <f t="shared" si="26"/>
        <v/>
      </c>
      <c r="I145" s="198"/>
      <c r="J145" s="198"/>
      <c r="K145" s="198"/>
      <c r="M145" s="144" t="str">
        <f t="shared" si="27"/>
        <v/>
      </c>
      <c r="N145" s="144" t="str">
        <f t="shared" si="28"/>
        <v/>
      </c>
    </row>
    <row r="146" spans="1:14">
      <c r="A146" s="148" t="str">
        <f>IF(C146="","",VLOOKUP('Opći dio'!$C$3,'Opći dio'!$L$6:$U$135,10,FALSE))</f>
        <v/>
      </c>
      <c r="B146" s="148" t="str">
        <f>IF(C146="","",VLOOKUP('Opći dio'!$C$3,'Opći dio'!$L$6:$U$135,9,FALSE))</f>
        <v/>
      </c>
      <c r="C146" s="154"/>
      <c r="D146" s="149" t="str">
        <f t="shared" si="25"/>
        <v/>
      </c>
      <c r="E146" s="154"/>
      <c r="F146" s="149" t="str">
        <f t="shared" si="24"/>
        <v/>
      </c>
      <c r="G146" s="201"/>
      <c r="H146" s="149" t="str">
        <f t="shared" si="26"/>
        <v/>
      </c>
      <c r="I146" s="198"/>
      <c r="J146" s="198"/>
      <c r="K146" s="198"/>
      <c r="M146" s="144" t="str">
        <f t="shared" si="27"/>
        <v/>
      </c>
      <c r="N146" s="144" t="str">
        <f t="shared" si="28"/>
        <v/>
      </c>
    </row>
    <row r="147" spans="1:14">
      <c r="A147" s="148" t="str">
        <f>IF(C147="","",VLOOKUP('Opći dio'!$C$3,'Opći dio'!$L$6:$U$135,10,FALSE))</f>
        <v/>
      </c>
      <c r="B147" s="148" t="str">
        <f>IF(C147="","",VLOOKUP('Opći dio'!$C$3,'Opći dio'!$L$6:$U$135,9,FALSE))</f>
        <v/>
      </c>
      <c r="C147" s="154"/>
      <c r="D147" s="149" t="str">
        <f t="shared" si="25"/>
        <v/>
      </c>
      <c r="E147" s="154"/>
      <c r="F147" s="149" t="str">
        <f t="shared" si="24"/>
        <v/>
      </c>
      <c r="G147" s="201"/>
      <c r="H147" s="149" t="str">
        <f t="shared" si="26"/>
        <v/>
      </c>
      <c r="I147" s="198"/>
      <c r="J147" s="198"/>
      <c r="K147" s="198"/>
      <c r="M147" s="144" t="str">
        <f t="shared" si="27"/>
        <v/>
      </c>
      <c r="N147" s="144" t="str">
        <f t="shared" si="28"/>
        <v/>
      </c>
    </row>
    <row r="148" spans="1:14">
      <c r="A148" s="148" t="str">
        <f>IF(C148="","",VLOOKUP('Opći dio'!$C$3,'Opći dio'!$L$6:$U$135,10,FALSE))</f>
        <v/>
      </c>
      <c r="B148" s="148" t="str">
        <f>IF(C148="","",VLOOKUP('Opći dio'!$C$3,'Opći dio'!$L$6:$U$135,9,FALSE))</f>
        <v/>
      </c>
      <c r="C148" s="154"/>
      <c r="D148" s="149" t="str">
        <f t="shared" si="25"/>
        <v/>
      </c>
      <c r="E148" s="154"/>
      <c r="F148" s="149" t="str">
        <f t="shared" si="24"/>
        <v/>
      </c>
      <c r="G148" s="201"/>
      <c r="H148" s="149" t="str">
        <f t="shared" si="26"/>
        <v/>
      </c>
      <c r="I148" s="198"/>
      <c r="J148" s="198"/>
      <c r="K148" s="198"/>
      <c r="M148" s="144" t="str">
        <f t="shared" si="27"/>
        <v/>
      </c>
      <c r="N148" s="144" t="str">
        <f t="shared" si="28"/>
        <v/>
      </c>
    </row>
    <row r="149" spans="1:14">
      <c r="A149" s="148" t="str">
        <f>IF(C149="","",VLOOKUP('Opći dio'!$C$3,'Opći dio'!$L$6:$U$135,10,FALSE))</f>
        <v/>
      </c>
      <c r="B149" s="148" t="str">
        <f>IF(C149="","",VLOOKUP('Opći dio'!$C$3,'Opći dio'!$L$6:$U$135,9,FALSE))</f>
        <v/>
      </c>
      <c r="C149" s="154"/>
      <c r="D149" s="149" t="str">
        <f t="shared" si="25"/>
        <v/>
      </c>
      <c r="E149" s="154"/>
      <c r="F149" s="149" t="str">
        <f t="shared" si="24"/>
        <v/>
      </c>
      <c r="G149" s="201"/>
      <c r="H149" s="149" t="str">
        <f t="shared" si="26"/>
        <v/>
      </c>
      <c r="I149" s="198"/>
      <c r="J149" s="198"/>
      <c r="K149" s="198"/>
      <c r="M149" s="144" t="str">
        <f t="shared" si="27"/>
        <v/>
      </c>
      <c r="N149" s="144" t="str">
        <f t="shared" si="28"/>
        <v/>
      </c>
    </row>
    <row r="150" spans="1:14">
      <c r="A150" s="148" t="str">
        <f>IF(C150="","",VLOOKUP('Opći dio'!$C$3,'Opći dio'!$L$6:$U$135,10,FALSE))</f>
        <v/>
      </c>
      <c r="B150" s="148" t="str">
        <f>IF(C150="","",VLOOKUP('Opći dio'!$C$3,'Opći dio'!$L$6:$U$135,9,FALSE))</f>
        <v/>
      </c>
      <c r="C150" s="154"/>
      <c r="D150" s="149" t="str">
        <f t="shared" si="25"/>
        <v/>
      </c>
      <c r="E150" s="154"/>
      <c r="F150" s="149" t="str">
        <f t="shared" si="24"/>
        <v/>
      </c>
      <c r="G150" s="201"/>
      <c r="H150" s="149" t="str">
        <f t="shared" si="26"/>
        <v/>
      </c>
      <c r="I150" s="198"/>
      <c r="J150" s="198"/>
      <c r="K150" s="198"/>
      <c r="M150" s="144" t="str">
        <f t="shared" si="27"/>
        <v/>
      </c>
      <c r="N150" s="144" t="str">
        <f t="shared" si="28"/>
        <v/>
      </c>
    </row>
    <row r="151" spans="1:14">
      <c r="A151" s="148" t="str">
        <f>IF(C151="","",VLOOKUP('Opći dio'!$C$3,'Opći dio'!$L$6:$U$135,10,FALSE))</f>
        <v/>
      </c>
      <c r="B151" s="148" t="str">
        <f>IF(C151="","",VLOOKUP('Opći dio'!$C$3,'Opći dio'!$L$6:$U$135,9,FALSE))</f>
        <v/>
      </c>
      <c r="C151" s="154"/>
      <c r="D151" s="149" t="str">
        <f t="shared" si="25"/>
        <v/>
      </c>
      <c r="E151" s="154"/>
      <c r="F151" s="149" t="str">
        <f t="shared" si="24"/>
        <v/>
      </c>
      <c r="G151" s="201"/>
      <c r="H151" s="149" t="str">
        <f t="shared" si="26"/>
        <v/>
      </c>
      <c r="I151" s="198"/>
      <c r="J151" s="198"/>
      <c r="K151" s="198"/>
      <c r="M151" s="144" t="str">
        <f t="shared" si="27"/>
        <v/>
      </c>
      <c r="N151" s="144" t="str">
        <f t="shared" si="28"/>
        <v/>
      </c>
    </row>
    <row r="152" spans="1:14">
      <c r="A152" s="148" t="str">
        <f>IF(C152="","",VLOOKUP('Opći dio'!$C$3,'Opći dio'!$L$6:$U$135,10,FALSE))</f>
        <v/>
      </c>
      <c r="B152" s="148" t="str">
        <f>IF(C152="","",VLOOKUP('Opći dio'!$C$3,'Opći dio'!$L$6:$U$135,9,FALSE))</f>
        <v/>
      </c>
      <c r="C152" s="154"/>
      <c r="D152" s="149" t="str">
        <f t="shared" si="25"/>
        <v/>
      </c>
      <c r="E152" s="154"/>
      <c r="F152" s="149" t="str">
        <f t="shared" si="24"/>
        <v/>
      </c>
      <c r="G152" s="201"/>
      <c r="H152" s="149" t="str">
        <f t="shared" si="26"/>
        <v/>
      </c>
      <c r="I152" s="198"/>
      <c r="J152" s="198"/>
      <c r="K152" s="198"/>
      <c r="M152" s="144" t="str">
        <f t="shared" si="27"/>
        <v/>
      </c>
      <c r="N152" s="144" t="str">
        <f t="shared" si="28"/>
        <v/>
      </c>
    </row>
    <row r="153" spans="1:14">
      <c r="A153" s="148" t="str">
        <f>IF(C153="","",VLOOKUP('Opći dio'!$C$3,'Opći dio'!$L$6:$U$135,10,FALSE))</f>
        <v/>
      </c>
      <c r="B153" s="148" t="str">
        <f>IF(C153="","",VLOOKUP('Opći dio'!$C$3,'Opći dio'!$L$6:$U$135,9,FALSE))</f>
        <v/>
      </c>
      <c r="C153" s="154"/>
      <c r="D153" s="149" t="str">
        <f t="shared" si="25"/>
        <v/>
      </c>
      <c r="E153" s="154"/>
      <c r="F153" s="149" t="str">
        <f t="shared" si="24"/>
        <v/>
      </c>
      <c r="G153" s="201"/>
      <c r="H153" s="149" t="str">
        <f t="shared" si="26"/>
        <v/>
      </c>
      <c r="I153" s="198"/>
      <c r="J153" s="198"/>
      <c r="K153" s="198"/>
      <c r="M153" s="144" t="str">
        <f t="shared" si="27"/>
        <v/>
      </c>
      <c r="N153" s="144" t="str">
        <f t="shared" si="28"/>
        <v/>
      </c>
    </row>
    <row r="154" spans="1:14">
      <c r="A154" s="148" t="str">
        <f>IF(C154="","",VLOOKUP('Opći dio'!$C$3,'Opći dio'!$L$6:$U$135,10,FALSE))</f>
        <v/>
      </c>
      <c r="B154" s="148" t="str">
        <f>IF(C154="","",VLOOKUP('Opći dio'!$C$3,'Opći dio'!$L$6:$U$135,9,FALSE))</f>
        <v/>
      </c>
      <c r="C154" s="154"/>
      <c r="D154" s="149" t="str">
        <f t="shared" si="25"/>
        <v/>
      </c>
      <c r="E154" s="154"/>
      <c r="F154" s="149" t="str">
        <f t="shared" si="24"/>
        <v/>
      </c>
      <c r="G154" s="201"/>
      <c r="H154" s="149" t="str">
        <f t="shared" si="26"/>
        <v/>
      </c>
      <c r="I154" s="198"/>
      <c r="J154" s="198"/>
      <c r="K154" s="198"/>
      <c r="M154" s="144" t="str">
        <f t="shared" si="27"/>
        <v/>
      </c>
      <c r="N154" s="144" t="str">
        <f t="shared" si="28"/>
        <v/>
      </c>
    </row>
    <row r="155" spans="1:14">
      <c r="A155" s="148" t="str">
        <f>IF(C155="","",VLOOKUP('Opći dio'!$C$3,'Opći dio'!$L$6:$U$135,10,FALSE))</f>
        <v/>
      </c>
      <c r="B155" s="148" t="str">
        <f>IF(C155="","",VLOOKUP('Opći dio'!$C$3,'Opći dio'!$L$6:$U$135,9,FALSE))</f>
        <v/>
      </c>
      <c r="C155" s="154"/>
      <c r="D155" s="149" t="str">
        <f t="shared" si="25"/>
        <v/>
      </c>
      <c r="E155" s="154"/>
      <c r="F155" s="149" t="str">
        <f t="shared" si="24"/>
        <v/>
      </c>
      <c r="G155" s="201"/>
      <c r="H155" s="149" t="str">
        <f t="shared" si="26"/>
        <v/>
      </c>
      <c r="I155" s="198"/>
      <c r="J155" s="198"/>
      <c r="K155" s="198"/>
      <c r="M155" s="144" t="str">
        <f t="shared" si="27"/>
        <v/>
      </c>
      <c r="N155" s="144" t="str">
        <f t="shared" si="28"/>
        <v/>
      </c>
    </row>
    <row r="156" spans="1:14">
      <c r="A156" s="148" t="str">
        <f>IF(C156="","",VLOOKUP('Opći dio'!$C$3,'Opći dio'!$L$6:$U$135,10,FALSE))</f>
        <v/>
      </c>
      <c r="B156" s="148" t="str">
        <f>IF(C156="","",VLOOKUP('Opći dio'!$C$3,'Opći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201"/>
      <c r="H156" s="149" t="str">
        <f t="shared" si="26"/>
        <v/>
      </c>
      <c r="I156" s="198"/>
      <c r="J156" s="198"/>
      <c r="K156" s="198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IF(C157="","",VLOOKUP('Opći dio'!$C$3,'Opći dio'!$L$6:$U$135,10,FALSE))</f>
        <v/>
      </c>
      <c r="B157" s="148" t="str">
        <f>IF(C157="","",VLOOKUP('Opći dio'!$C$3,'Opći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201"/>
      <c r="H157" s="149" t="str">
        <f t="shared" si="26"/>
        <v/>
      </c>
      <c r="I157" s="198"/>
      <c r="J157" s="198"/>
      <c r="K157" s="198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IF(C158="","",VLOOKUP('Opći dio'!$C$3,'Opći dio'!$L$6:$U$135,10,FALSE))</f>
        <v/>
      </c>
      <c r="B158" s="148" t="str">
        <f>IF(C158="","",VLOOKUP('Opći dio'!$C$3,'Opći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201"/>
      <c r="H158" s="149" t="str">
        <f t="shared" si="26"/>
        <v/>
      </c>
      <c r="I158" s="198"/>
      <c r="J158" s="198"/>
      <c r="K158" s="198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201"/>
      <c r="H159" s="149" t="str">
        <f t="shared" si="26"/>
        <v/>
      </c>
      <c r="I159" s="198"/>
      <c r="J159" s="198"/>
      <c r="K159" s="198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IF(C160="","",VLOOKUP('Opći dio'!$C$3,'Opći dio'!$L$6:$U$135,10,FALSE))</f>
        <v/>
      </c>
      <c r="B160" s="148" t="str">
        <f>IF(C160="","",VLOOKUP('Opći dio'!$C$3,'Opći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201"/>
      <c r="H160" s="149" t="str">
        <f t="shared" si="26"/>
        <v/>
      </c>
      <c r="I160" s="198"/>
      <c r="J160" s="198"/>
      <c r="K160" s="198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IF(C161="","",VLOOKUP('Opći dio'!$C$3,'Opći dio'!$L$6:$U$135,10,FALSE))</f>
        <v/>
      </c>
      <c r="B161" s="148" t="str">
        <f>IF(C161="","",VLOOKUP('Opći dio'!$C$3,'Opći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201"/>
      <c r="H161" s="149" t="str">
        <f t="shared" si="26"/>
        <v/>
      </c>
      <c r="I161" s="198"/>
      <c r="J161" s="198"/>
      <c r="K161" s="198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IF(C162="","",VLOOKUP('Opći dio'!$C$3,'Opći dio'!$L$6:$U$135,10,FALSE))</f>
        <v/>
      </c>
      <c r="B162" s="148" t="str">
        <f>IF(C162="","",VLOOKUP('Opći dio'!$C$3,'Opći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201"/>
      <c r="H162" s="149" t="str">
        <f t="shared" si="26"/>
        <v/>
      </c>
      <c r="I162" s="198"/>
      <c r="J162" s="198"/>
      <c r="K162" s="198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IF(C163="","",VLOOKUP('Opći dio'!$C$3,'Opći dio'!$L$6:$U$135,10,FALSE))</f>
        <v/>
      </c>
      <c r="B163" s="148" t="str">
        <f>IF(C163="","",VLOOKUP('Opći dio'!$C$3,'Opći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201"/>
      <c r="H163" s="149" t="str">
        <f t="shared" si="26"/>
        <v/>
      </c>
      <c r="I163" s="198"/>
      <c r="J163" s="198"/>
      <c r="K163" s="198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IF(C164="","",VLOOKUP('Opći dio'!$C$3,'Opći dio'!$L$6:$U$135,10,FALSE))</f>
        <v/>
      </c>
      <c r="B164" s="148" t="str">
        <f>IF(C164="","",VLOOKUP('Opći dio'!$C$3,'Opći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201"/>
      <c r="H164" s="149" t="str">
        <f t="shared" si="26"/>
        <v/>
      </c>
      <c r="I164" s="198"/>
      <c r="J164" s="198"/>
      <c r="K164" s="198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IF(C165="","",VLOOKUP('Opći dio'!$C$3,'Opći dio'!$L$6:$U$135,10,FALSE))</f>
        <v/>
      </c>
      <c r="B165" s="148" t="str">
        <f>IF(C165="","",VLOOKUP('Opći dio'!$C$3,'Opći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201"/>
      <c r="H165" s="149" t="str">
        <f t="shared" si="26"/>
        <v/>
      </c>
      <c r="I165" s="198"/>
      <c r="J165" s="198"/>
      <c r="K165" s="198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IF(C166="","",VLOOKUP('Opći dio'!$C$3,'Opći dio'!$L$6:$U$135,10,FALSE))</f>
        <v/>
      </c>
      <c r="B166" s="148" t="str">
        <f>IF(C166="","",VLOOKUP('Opći dio'!$C$3,'Opći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201"/>
      <c r="H166" s="149" t="str">
        <f t="shared" si="26"/>
        <v/>
      </c>
      <c r="I166" s="198"/>
      <c r="J166" s="198"/>
      <c r="K166" s="198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IF(C167="","",VLOOKUP('Opći dio'!$C$3,'Opći dio'!$L$6:$U$135,10,FALSE))</f>
        <v/>
      </c>
      <c r="B167" s="148" t="str">
        <f>IF(C167="","",VLOOKUP('Opći dio'!$C$3,'Opći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201"/>
      <c r="H167" s="149" t="str">
        <f t="shared" si="26"/>
        <v/>
      </c>
      <c r="I167" s="198"/>
      <c r="J167" s="198"/>
      <c r="K167" s="198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IF(C168="","",VLOOKUP('Opći dio'!$C$3,'Opći dio'!$L$6:$U$135,10,FALSE))</f>
        <v/>
      </c>
      <c r="B168" s="148" t="str">
        <f>IF(C168="","",VLOOKUP('Opći dio'!$C$3,'Opći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201"/>
      <c r="H168" s="149" t="str">
        <f t="shared" si="26"/>
        <v/>
      </c>
      <c r="I168" s="198"/>
      <c r="J168" s="198"/>
      <c r="K168" s="198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IF(C169="","",VLOOKUP('Opći dio'!$C$3,'Opći dio'!$L$6:$U$135,10,FALSE))</f>
        <v/>
      </c>
      <c r="B169" s="148" t="str">
        <f>IF(C169="","",VLOOKUP('Opći dio'!$C$3,'Opći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201"/>
      <c r="H169" s="149" t="str">
        <f t="shared" si="26"/>
        <v/>
      </c>
      <c r="I169" s="198"/>
      <c r="J169" s="198"/>
      <c r="K169" s="198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IF(C170="","",VLOOKUP('Opći dio'!$C$3,'Opći dio'!$L$6:$U$135,10,FALSE))</f>
        <v/>
      </c>
      <c r="B170" s="148" t="str">
        <f>IF(C170="","",VLOOKUP('Opći dio'!$C$3,'Opći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201"/>
      <c r="H170" s="149" t="str">
        <f t="shared" si="26"/>
        <v/>
      </c>
      <c r="I170" s="198"/>
      <c r="J170" s="198"/>
      <c r="K170" s="198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201"/>
      <c r="H171" s="149" t="str">
        <f t="shared" si="26"/>
        <v/>
      </c>
      <c r="I171" s="198"/>
      <c r="J171" s="198"/>
      <c r="K171" s="198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IF(C172="","",VLOOKUP('Opći dio'!$C$3,'Opći dio'!$L$6:$U$135,10,FALSE))</f>
        <v/>
      </c>
      <c r="B172" s="148" t="str">
        <f>IF(C172="","",VLOOKUP('Opći dio'!$C$3,'Opći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201"/>
      <c r="H172" s="149" t="str">
        <f t="shared" si="26"/>
        <v/>
      </c>
      <c r="I172" s="198"/>
      <c r="J172" s="198"/>
      <c r="K172" s="198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IF(C173="","",VLOOKUP('Opći dio'!$C$3,'Opći dio'!$L$6:$U$135,10,FALSE))</f>
        <v/>
      </c>
      <c r="B173" s="148" t="str">
        <f>IF(C173="","",VLOOKUP('Opći dio'!$C$3,'Opći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201"/>
      <c r="H173" s="149" t="str">
        <f t="shared" si="26"/>
        <v/>
      </c>
      <c r="I173" s="198"/>
      <c r="J173" s="198"/>
      <c r="K173" s="198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IF(C174="","",VLOOKUP('Opći dio'!$C$3,'Opći dio'!$L$6:$U$135,10,FALSE))</f>
        <v/>
      </c>
      <c r="B174" s="148" t="str">
        <f>IF(C174="","",VLOOKUP('Opći dio'!$C$3,'Opći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201"/>
      <c r="H174" s="149" t="str">
        <f t="shared" si="26"/>
        <v/>
      </c>
      <c r="I174" s="198"/>
      <c r="J174" s="198"/>
      <c r="K174" s="198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201"/>
      <c r="H175" s="149" t="str">
        <f t="shared" si="26"/>
        <v/>
      </c>
      <c r="I175" s="198"/>
      <c r="J175" s="198"/>
      <c r="K175" s="198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IF(C176="","",VLOOKUP('Opći dio'!$C$3,'Opći dio'!$L$6:$U$135,10,FALSE))</f>
        <v/>
      </c>
      <c r="B176" s="148" t="str">
        <f>IF(C176="","",VLOOKUP('Opći dio'!$C$3,'Opći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201"/>
      <c r="H176" s="149" t="str">
        <f t="shared" si="26"/>
        <v/>
      </c>
      <c r="I176" s="198"/>
      <c r="J176" s="198"/>
      <c r="K176" s="198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201"/>
      <c r="H177" s="149" t="str">
        <f t="shared" si="26"/>
        <v/>
      </c>
      <c r="I177" s="198"/>
      <c r="J177" s="198"/>
      <c r="K177" s="198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IF(C178="","",VLOOKUP('Opći dio'!$C$3,'Opći dio'!$L$6:$U$135,10,FALSE))</f>
        <v/>
      </c>
      <c r="B178" s="148" t="str">
        <f>IF(C178="","",VLOOKUP('Opći dio'!$C$3,'Opći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201"/>
      <c r="H178" s="149" t="str">
        <f t="shared" si="26"/>
        <v/>
      </c>
      <c r="I178" s="198"/>
      <c r="J178" s="198"/>
      <c r="K178" s="198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IF(C179="","",VLOOKUP('Opći dio'!$C$3,'Opći dio'!$L$6:$U$135,10,FALSE))</f>
        <v/>
      </c>
      <c r="B179" s="148" t="str">
        <f>IF(C179="","",VLOOKUP('Opći dio'!$C$3,'Opći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201"/>
      <c r="H179" s="149" t="str">
        <f t="shared" si="26"/>
        <v/>
      </c>
      <c r="I179" s="198"/>
      <c r="J179" s="198"/>
      <c r="K179" s="198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IF(C180="","",VLOOKUP('Opći dio'!$C$3,'Opći dio'!$L$6:$U$135,10,FALSE))</f>
        <v/>
      </c>
      <c r="B180" s="148" t="str">
        <f>IF(C180="","",VLOOKUP('Opći dio'!$C$3,'Opći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201"/>
      <c r="H180" s="149" t="str">
        <f t="shared" si="26"/>
        <v/>
      </c>
      <c r="I180" s="198"/>
      <c r="J180" s="198"/>
      <c r="K180" s="198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IF(C181="","",VLOOKUP('Opći dio'!$C$3,'Opći dio'!$L$6:$U$135,10,FALSE))</f>
        <v/>
      </c>
      <c r="B181" s="148" t="str">
        <f>IF(C181="","",VLOOKUP('Opći dio'!$C$3,'Opći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201"/>
      <c r="H181" s="149" t="str">
        <f t="shared" si="26"/>
        <v/>
      </c>
      <c r="I181" s="198"/>
      <c r="J181" s="198"/>
      <c r="K181" s="198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IF(C182="","",VLOOKUP('Opći dio'!$C$3,'Opći dio'!$L$6:$U$135,10,FALSE))</f>
        <v/>
      </c>
      <c r="B182" s="148" t="str">
        <f>IF(C182="","",VLOOKUP('Opći dio'!$C$3,'Opći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201"/>
      <c r="H182" s="149" t="str">
        <f t="shared" si="26"/>
        <v/>
      </c>
      <c r="I182" s="198"/>
      <c r="J182" s="198"/>
      <c r="K182" s="198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IF(C183="","",VLOOKUP('Opći dio'!$C$3,'Opći dio'!$L$6:$U$135,10,FALSE))</f>
        <v/>
      </c>
      <c r="B183" s="148" t="str">
        <f>IF(C183="","",VLOOKUP('Opći dio'!$C$3,'Opći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201"/>
      <c r="H183" s="149" t="str">
        <f t="shared" si="26"/>
        <v/>
      </c>
      <c r="I183" s="198"/>
      <c r="J183" s="198"/>
      <c r="K183" s="198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IF(C184="","",VLOOKUP('Opći dio'!$C$3,'Opći dio'!$L$6:$U$135,10,FALSE))</f>
        <v/>
      </c>
      <c r="B184" s="148" t="str">
        <f>IF(C184="","",VLOOKUP('Opći dio'!$C$3,'Opći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201"/>
      <c r="H184" s="149" t="str">
        <f t="shared" si="26"/>
        <v/>
      </c>
      <c r="I184" s="198"/>
      <c r="J184" s="198"/>
      <c r="K184" s="198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IF(C185="","",VLOOKUP('Opći dio'!$C$3,'Opći dio'!$L$6:$U$135,10,FALSE))</f>
        <v/>
      </c>
      <c r="B185" s="148" t="str">
        <f>IF(C185="","",VLOOKUP('Opći dio'!$C$3,'Opći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201"/>
      <c r="H185" s="149" t="str">
        <f t="shared" si="26"/>
        <v/>
      </c>
      <c r="I185" s="198"/>
      <c r="J185" s="198"/>
      <c r="K185" s="198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IF(C186="","",VLOOKUP('Opći dio'!$C$3,'Opći dio'!$L$6:$U$135,10,FALSE))</f>
        <v/>
      </c>
      <c r="B186" s="148" t="str">
        <f>IF(C186="","",VLOOKUP('Opći dio'!$C$3,'Opći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201"/>
      <c r="H186" s="149" t="str">
        <f t="shared" si="26"/>
        <v/>
      </c>
      <c r="I186" s="198"/>
      <c r="J186" s="198"/>
      <c r="K186" s="198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IF(C187="","",VLOOKUP('Opći dio'!$C$3,'Opći dio'!$L$6:$U$135,10,FALSE))</f>
        <v/>
      </c>
      <c r="B187" s="148" t="str">
        <f>IF(C187="","",VLOOKUP('Opći dio'!$C$3,'Opći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201"/>
      <c r="H187" s="149" t="str">
        <f t="shared" si="26"/>
        <v/>
      </c>
      <c r="I187" s="198"/>
      <c r="J187" s="198"/>
      <c r="K187" s="198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IF(C188="","",VLOOKUP('Opći dio'!$C$3,'Opći dio'!$L$6:$U$135,10,FALSE))</f>
        <v/>
      </c>
      <c r="B188" s="148" t="str">
        <f>IF(C188="","",VLOOKUP('Opći dio'!$C$3,'Opći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201"/>
      <c r="H188" s="149" t="str">
        <f t="shared" si="26"/>
        <v/>
      </c>
      <c r="I188" s="198"/>
      <c r="J188" s="198"/>
      <c r="K188" s="198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IF(C189="","",VLOOKUP('Opći dio'!$C$3,'Opći dio'!$L$6:$U$135,10,FALSE))</f>
        <v/>
      </c>
      <c r="B189" s="148" t="str">
        <f>IF(C189="","",VLOOKUP('Opći dio'!$C$3,'Opći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201"/>
      <c r="H189" s="149" t="str">
        <f t="shared" si="26"/>
        <v/>
      </c>
      <c r="I189" s="198"/>
      <c r="J189" s="198"/>
      <c r="K189" s="198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IF(C190="","",VLOOKUP('Opći dio'!$C$3,'Opći dio'!$L$6:$U$135,10,FALSE))</f>
        <v/>
      </c>
      <c r="B190" s="148" t="str">
        <f>IF(C190="","",VLOOKUP('Opći dio'!$C$3,'Opći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201"/>
      <c r="H190" s="149" t="str">
        <f t="shared" si="26"/>
        <v/>
      </c>
      <c r="I190" s="198"/>
      <c r="J190" s="198"/>
      <c r="K190" s="198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IF(C191="","",VLOOKUP('Opći dio'!$C$3,'Opći dio'!$L$6:$U$135,10,FALSE))</f>
        <v/>
      </c>
      <c r="B191" s="148" t="str">
        <f>IF(C191="","",VLOOKUP('Opći dio'!$C$3,'Opći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201"/>
      <c r="H191" s="149" t="str">
        <f t="shared" si="26"/>
        <v/>
      </c>
      <c r="I191" s="198"/>
      <c r="J191" s="198"/>
      <c r="K191" s="198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IF(C192="","",VLOOKUP('Opći dio'!$C$3,'Opći dio'!$L$6:$U$135,10,FALSE))</f>
        <v/>
      </c>
      <c r="B192" s="148" t="str">
        <f>IF(C192="","",VLOOKUP('Opći dio'!$C$3,'Opći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201"/>
      <c r="H192" s="149" t="str">
        <f t="shared" si="26"/>
        <v/>
      </c>
      <c r="I192" s="198"/>
      <c r="J192" s="198"/>
      <c r="K192" s="198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IF(C193="","",VLOOKUP('Opći dio'!$C$3,'Opći dio'!$L$6:$U$135,10,FALSE))</f>
        <v/>
      </c>
      <c r="B193" s="148" t="str">
        <f>IF(C193="","",VLOOKUP('Opći dio'!$C$3,'Opći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201"/>
      <c r="H193" s="149" t="str">
        <f t="shared" si="26"/>
        <v/>
      </c>
      <c r="I193" s="198"/>
      <c r="J193" s="198"/>
      <c r="K193" s="198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IF(C194="","",VLOOKUP('Opći dio'!$C$3,'Opći dio'!$L$6:$U$135,10,FALSE))</f>
        <v/>
      </c>
      <c r="B194" s="148" t="str">
        <f>IF(C194="","",VLOOKUP('Opći dio'!$C$3,'Opći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201"/>
      <c r="H194" s="149" t="str">
        <f t="shared" si="26"/>
        <v/>
      </c>
      <c r="I194" s="198"/>
      <c r="J194" s="198"/>
      <c r="K194" s="198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IF(C195="","",VLOOKUP('Opći dio'!$C$3,'Opći dio'!$L$6:$U$135,10,FALSE))</f>
        <v/>
      </c>
      <c r="B195" s="148" t="str">
        <f>IF(C195="","",VLOOKUP('Opći dio'!$C$3,'Opći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201"/>
      <c r="H195" s="149" t="str">
        <f t="shared" si="26"/>
        <v/>
      </c>
      <c r="I195" s="198"/>
      <c r="J195" s="198"/>
      <c r="K195" s="198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IF(C196="","",VLOOKUP('Opći dio'!$C$3,'Opći dio'!$L$6:$U$135,10,FALSE))</f>
        <v/>
      </c>
      <c r="B196" s="148" t="str">
        <f>IF(C196="","",VLOOKUP('Opći dio'!$C$3,'Opći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201"/>
      <c r="H196" s="149" t="str">
        <f t="shared" ref="H196:H259" si="31">IFERROR(VLOOKUP(G196,$X$6:$Y$50,2,FALSE),"")</f>
        <v/>
      </c>
      <c r="I196" s="198"/>
      <c r="J196" s="198"/>
      <c r="K196" s="198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IF(C197="","",VLOOKUP('Opći dio'!$C$3,'Opći dio'!$L$6:$U$135,10,FALSE))</f>
        <v/>
      </c>
      <c r="B197" s="148" t="str">
        <f>IF(C197="","",VLOOKUP('Opći dio'!$C$3,'Opći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201"/>
      <c r="H197" s="149" t="str">
        <f t="shared" si="31"/>
        <v/>
      </c>
      <c r="I197" s="198"/>
      <c r="J197" s="198"/>
      <c r="K197" s="198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IF(C198="","",VLOOKUP('Opći dio'!$C$3,'Opći dio'!$L$6:$U$135,10,FALSE))</f>
        <v/>
      </c>
      <c r="B198" s="148" t="str">
        <f>IF(C198="","",VLOOKUP('Opći dio'!$C$3,'Opći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201"/>
      <c r="H198" s="149" t="str">
        <f t="shared" si="31"/>
        <v/>
      </c>
      <c r="I198" s="198"/>
      <c r="J198" s="198"/>
      <c r="K198" s="198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IF(C199="","",VLOOKUP('Opći dio'!$C$3,'Opći dio'!$L$6:$U$135,10,FALSE))</f>
        <v/>
      </c>
      <c r="B199" s="148" t="str">
        <f>IF(C199="","",VLOOKUP('Opći dio'!$C$3,'Opći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201"/>
      <c r="H199" s="149" t="str">
        <f t="shared" si="31"/>
        <v/>
      </c>
      <c r="I199" s="198"/>
      <c r="J199" s="198"/>
      <c r="K199" s="198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201"/>
      <c r="H200" s="149" t="str">
        <f t="shared" si="31"/>
        <v/>
      </c>
      <c r="I200" s="198"/>
      <c r="J200" s="198"/>
      <c r="K200" s="198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IF(C201="","",VLOOKUP('Opći dio'!$C$3,'Opći dio'!$L$6:$U$135,10,FALSE))</f>
        <v/>
      </c>
      <c r="B201" s="148" t="str">
        <f>IF(C201="","",VLOOKUP('Opći dio'!$C$3,'Opći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201"/>
      <c r="H201" s="149" t="str">
        <f t="shared" si="31"/>
        <v/>
      </c>
      <c r="I201" s="198"/>
      <c r="J201" s="198"/>
      <c r="K201" s="198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IF(C202="","",VLOOKUP('Opći dio'!$C$3,'Opći dio'!$L$6:$U$135,10,FALSE))</f>
        <v/>
      </c>
      <c r="B202" s="148" t="str">
        <f>IF(C202="","",VLOOKUP('Opći dio'!$C$3,'Opći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201"/>
      <c r="H202" s="149" t="str">
        <f t="shared" si="31"/>
        <v/>
      </c>
      <c r="I202" s="198"/>
      <c r="J202" s="198"/>
      <c r="K202" s="198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IF(C203="","",VLOOKUP('Opći dio'!$C$3,'Opći dio'!$L$6:$U$135,10,FALSE))</f>
        <v/>
      </c>
      <c r="B203" s="148" t="str">
        <f>IF(C203="","",VLOOKUP('Opći dio'!$C$3,'Opći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201"/>
      <c r="H203" s="149" t="str">
        <f t="shared" si="31"/>
        <v/>
      </c>
      <c r="I203" s="198"/>
      <c r="J203" s="198"/>
      <c r="K203" s="198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IF(C204="","",VLOOKUP('Opći dio'!$C$3,'Opći dio'!$L$6:$U$135,10,FALSE))</f>
        <v/>
      </c>
      <c r="B204" s="148" t="str">
        <f>IF(C204="","",VLOOKUP('Opći dio'!$C$3,'Opći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201"/>
      <c r="H204" s="149" t="str">
        <f t="shared" si="31"/>
        <v/>
      </c>
      <c r="I204" s="198"/>
      <c r="J204" s="198"/>
      <c r="K204" s="198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IF(C205="","",VLOOKUP('Opći dio'!$C$3,'Opći dio'!$L$6:$U$135,10,FALSE))</f>
        <v/>
      </c>
      <c r="B205" s="148" t="str">
        <f>IF(C205="","",VLOOKUP('Opći dio'!$C$3,'Opći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201"/>
      <c r="H205" s="149" t="str">
        <f t="shared" si="31"/>
        <v/>
      </c>
      <c r="I205" s="198"/>
      <c r="J205" s="198"/>
      <c r="K205" s="198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201"/>
      <c r="H206" s="149" t="str">
        <f t="shared" si="31"/>
        <v/>
      </c>
      <c r="I206" s="198"/>
      <c r="J206" s="198"/>
      <c r="K206" s="198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IF(C207="","",VLOOKUP('Opći dio'!$C$3,'Opći dio'!$L$6:$U$135,10,FALSE))</f>
        <v/>
      </c>
      <c r="B207" s="148" t="str">
        <f>IF(C207="","",VLOOKUP('Opći dio'!$C$3,'Opći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201"/>
      <c r="H207" s="149" t="str">
        <f t="shared" si="31"/>
        <v/>
      </c>
      <c r="I207" s="198"/>
      <c r="J207" s="198"/>
      <c r="K207" s="198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201"/>
      <c r="H208" s="149" t="str">
        <f t="shared" si="31"/>
        <v/>
      </c>
      <c r="I208" s="198"/>
      <c r="J208" s="198"/>
      <c r="K208" s="198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201"/>
      <c r="H209" s="149" t="str">
        <f t="shared" si="31"/>
        <v/>
      </c>
      <c r="I209" s="198"/>
      <c r="J209" s="198"/>
      <c r="K209" s="198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201"/>
      <c r="H210" s="149" t="str">
        <f t="shared" si="31"/>
        <v/>
      </c>
      <c r="I210" s="198"/>
      <c r="J210" s="198"/>
      <c r="K210" s="198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201"/>
      <c r="H211" s="149" t="str">
        <f t="shared" si="31"/>
        <v/>
      </c>
      <c r="I211" s="198"/>
      <c r="J211" s="198"/>
      <c r="K211" s="198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201"/>
      <c r="H212" s="149" t="str">
        <f t="shared" si="31"/>
        <v/>
      </c>
      <c r="I212" s="198"/>
      <c r="J212" s="198"/>
      <c r="K212" s="198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201"/>
      <c r="H213" s="149" t="str">
        <f t="shared" si="31"/>
        <v/>
      </c>
      <c r="I213" s="198"/>
      <c r="J213" s="198"/>
      <c r="K213" s="198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201"/>
      <c r="H214" s="149" t="str">
        <f t="shared" si="31"/>
        <v/>
      </c>
      <c r="I214" s="198"/>
      <c r="J214" s="198"/>
      <c r="K214" s="198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201"/>
      <c r="H215" s="149" t="str">
        <f t="shared" si="31"/>
        <v/>
      </c>
      <c r="I215" s="198"/>
      <c r="J215" s="198"/>
      <c r="K215" s="198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201"/>
      <c r="H216" s="149" t="str">
        <f t="shared" si="31"/>
        <v/>
      </c>
      <c r="I216" s="198"/>
      <c r="J216" s="198"/>
      <c r="K216" s="198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201"/>
      <c r="H217" s="149" t="str">
        <f t="shared" si="31"/>
        <v/>
      </c>
      <c r="I217" s="198"/>
      <c r="J217" s="198"/>
      <c r="K217" s="198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201"/>
      <c r="H218" s="149" t="str">
        <f t="shared" si="31"/>
        <v/>
      </c>
      <c r="I218" s="198"/>
      <c r="J218" s="198"/>
      <c r="K218" s="198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201"/>
      <c r="H219" s="149" t="str">
        <f t="shared" si="31"/>
        <v/>
      </c>
      <c r="I219" s="198"/>
      <c r="J219" s="198"/>
      <c r="K219" s="198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201"/>
      <c r="H220" s="149" t="str">
        <f t="shared" si="31"/>
        <v/>
      </c>
      <c r="I220" s="198"/>
      <c r="J220" s="198"/>
      <c r="K220" s="198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201"/>
      <c r="H221" s="149" t="str">
        <f t="shared" si="31"/>
        <v/>
      </c>
      <c r="I221" s="198"/>
      <c r="J221" s="198"/>
      <c r="K221" s="198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201"/>
      <c r="H222" s="149" t="str">
        <f t="shared" si="31"/>
        <v/>
      </c>
      <c r="I222" s="198"/>
      <c r="J222" s="198"/>
      <c r="K222" s="198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201"/>
      <c r="H223" s="149" t="str">
        <f t="shared" si="31"/>
        <v/>
      </c>
      <c r="I223" s="198"/>
      <c r="J223" s="198"/>
      <c r="K223" s="198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201"/>
      <c r="H224" s="149" t="str">
        <f t="shared" si="31"/>
        <v/>
      </c>
      <c r="I224" s="198"/>
      <c r="J224" s="198"/>
      <c r="K224" s="198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201"/>
      <c r="H225" s="149" t="str">
        <f t="shared" si="31"/>
        <v/>
      </c>
      <c r="I225" s="198"/>
      <c r="J225" s="198"/>
      <c r="K225" s="198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201"/>
      <c r="H226" s="149" t="str">
        <f t="shared" si="31"/>
        <v/>
      </c>
      <c r="I226" s="198"/>
      <c r="J226" s="198"/>
      <c r="K226" s="198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201"/>
      <c r="H227" s="149" t="str">
        <f t="shared" si="31"/>
        <v/>
      </c>
      <c r="I227" s="198"/>
      <c r="J227" s="198"/>
      <c r="K227" s="198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201"/>
      <c r="H228" s="149" t="str">
        <f t="shared" si="31"/>
        <v/>
      </c>
      <c r="I228" s="198"/>
      <c r="J228" s="198"/>
      <c r="K228" s="198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201"/>
      <c r="H229" s="149" t="str">
        <f t="shared" si="31"/>
        <v/>
      </c>
      <c r="I229" s="198"/>
      <c r="J229" s="198"/>
      <c r="K229" s="198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201"/>
      <c r="H230" s="149" t="str">
        <f t="shared" si="31"/>
        <v/>
      </c>
      <c r="I230" s="198"/>
      <c r="J230" s="198"/>
      <c r="K230" s="198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201"/>
      <c r="H231" s="149" t="str">
        <f t="shared" si="31"/>
        <v/>
      </c>
      <c r="I231" s="198"/>
      <c r="J231" s="198"/>
      <c r="K231" s="198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201"/>
      <c r="H232" s="149" t="str">
        <f t="shared" si="31"/>
        <v/>
      </c>
      <c r="I232" s="198"/>
      <c r="J232" s="198"/>
      <c r="K232" s="198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201"/>
      <c r="H233" s="149" t="str">
        <f t="shared" si="31"/>
        <v/>
      </c>
      <c r="I233" s="198"/>
      <c r="J233" s="198"/>
      <c r="K233" s="198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201"/>
      <c r="H234" s="149" t="str">
        <f t="shared" si="31"/>
        <v/>
      </c>
      <c r="I234" s="198"/>
      <c r="J234" s="198"/>
      <c r="K234" s="198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201"/>
      <c r="H235" s="149" t="str">
        <f t="shared" si="31"/>
        <v/>
      </c>
      <c r="I235" s="198"/>
      <c r="J235" s="198"/>
      <c r="K235" s="198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201"/>
      <c r="H236" s="149" t="str">
        <f t="shared" si="31"/>
        <v/>
      </c>
      <c r="I236" s="198"/>
      <c r="J236" s="198"/>
      <c r="K236" s="198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201"/>
      <c r="H237" s="149" t="str">
        <f t="shared" si="31"/>
        <v/>
      </c>
      <c r="I237" s="198"/>
      <c r="J237" s="198"/>
      <c r="K237" s="198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201"/>
      <c r="H238" s="149" t="str">
        <f t="shared" si="31"/>
        <v/>
      </c>
      <c r="I238" s="198"/>
      <c r="J238" s="198"/>
      <c r="K238" s="198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201"/>
      <c r="H239" s="149" t="str">
        <f t="shared" si="31"/>
        <v/>
      </c>
      <c r="I239" s="198"/>
      <c r="J239" s="198"/>
      <c r="K239" s="198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201"/>
      <c r="H240" s="149" t="str">
        <f t="shared" si="31"/>
        <v/>
      </c>
      <c r="I240" s="198"/>
      <c r="J240" s="198"/>
      <c r="K240" s="198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201"/>
      <c r="H241" s="149" t="str">
        <f t="shared" si="31"/>
        <v/>
      </c>
      <c r="I241" s="198"/>
      <c r="J241" s="198"/>
      <c r="K241" s="198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201"/>
      <c r="H242" s="149" t="str">
        <f t="shared" si="31"/>
        <v/>
      </c>
      <c r="I242" s="198"/>
      <c r="J242" s="198"/>
      <c r="K242" s="198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201"/>
      <c r="H243" s="149" t="str">
        <f t="shared" si="31"/>
        <v/>
      </c>
      <c r="I243" s="198"/>
      <c r="J243" s="198"/>
      <c r="K243" s="198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201"/>
      <c r="H244" s="149" t="str">
        <f t="shared" si="31"/>
        <v/>
      </c>
      <c r="I244" s="198"/>
      <c r="J244" s="198"/>
      <c r="K244" s="198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201"/>
      <c r="H245" s="149" t="str">
        <f t="shared" si="31"/>
        <v/>
      </c>
      <c r="I245" s="198"/>
      <c r="J245" s="198"/>
      <c r="K245" s="198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201"/>
      <c r="H246" s="149" t="str">
        <f t="shared" si="31"/>
        <v/>
      </c>
      <c r="I246" s="198"/>
      <c r="J246" s="198"/>
      <c r="K246" s="198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201"/>
      <c r="H247" s="149" t="str">
        <f t="shared" si="31"/>
        <v/>
      </c>
      <c r="I247" s="198"/>
      <c r="J247" s="198"/>
      <c r="K247" s="198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201"/>
      <c r="H248" s="149" t="str">
        <f t="shared" si="31"/>
        <v/>
      </c>
      <c r="I248" s="198"/>
      <c r="J248" s="198"/>
      <c r="K248" s="198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201"/>
      <c r="H249" s="149" t="str">
        <f t="shared" si="31"/>
        <v/>
      </c>
      <c r="I249" s="198"/>
      <c r="J249" s="198"/>
      <c r="K249" s="198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201"/>
      <c r="H250" s="149" t="str">
        <f t="shared" si="31"/>
        <v/>
      </c>
      <c r="I250" s="198"/>
      <c r="J250" s="198"/>
      <c r="K250" s="198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201"/>
      <c r="H251" s="149" t="str">
        <f t="shared" si="31"/>
        <v/>
      </c>
      <c r="I251" s="198"/>
      <c r="J251" s="198"/>
      <c r="K251" s="198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201"/>
      <c r="H252" s="149" t="str">
        <f t="shared" si="31"/>
        <v/>
      </c>
      <c r="I252" s="198"/>
      <c r="J252" s="198"/>
      <c r="K252" s="198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201"/>
      <c r="H253" s="149" t="str">
        <f t="shared" si="31"/>
        <v/>
      </c>
      <c r="I253" s="198"/>
      <c r="J253" s="198"/>
      <c r="K253" s="198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201"/>
      <c r="H254" s="149" t="str">
        <f t="shared" si="31"/>
        <v/>
      </c>
      <c r="I254" s="198"/>
      <c r="J254" s="198"/>
      <c r="K254" s="198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201"/>
      <c r="H255" s="149" t="str">
        <f t="shared" si="31"/>
        <v/>
      </c>
      <c r="I255" s="198"/>
      <c r="J255" s="198"/>
      <c r="K255" s="198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201"/>
      <c r="H256" s="149" t="str">
        <f t="shared" si="31"/>
        <v/>
      </c>
      <c r="I256" s="198"/>
      <c r="J256" s="198"/>
      <c r="K256" s="198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201"/>
      <c r="H257" s="149" t="str">
        <f t="shared" si="31"/>
        <v/>
      </c>
      <c r="I257" s="198"/>
      <c r="J257" s="198"/>
      <c r="K257" s="198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201"/>
      <c r="H258" s="149" t="str">
        <f t="shared" si="31"/>
        <v/>
      </c>
      <c r="I258" s="198"/>
      <c r="J258" s="198"/>
      <c r="K258" s="198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201"/>
      <c r="H259" s="149" t="str">
        <f t="shared" si="31"/>
        <v/>
      </c>
      <c r="I259" s="198"/>
      <c r="J259" s="198"/>
      <c r="K259" s="198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201"/>
      <c r="H260" s="149" t="str">
        <f t="shared" ref="H260:H323" si="36">IFERROR(VLOOKUP(G260,$X$6:$Y$50,2,FALSE),"")</f>
        <v/>
      </c>
      <c r="I260" s="198"/>
      <c r="J260" s="198"/>
      <c r="K260" s="198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201"/>
      <c r="H261" s="149" t="str">
        <f t="shared" si="36"/>
        <v/>
      </c>
      <c r="I261" s="198"/>
      <c r="J261" s="198"/>
      <c r="K261" s="198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201"/>
      <c r="H262" s="149" t="str">
        <f t="shared" si="36"/>
        <v/>
      </c>
      <c r="I262" s="198"/>
      <c r="J262" s="198"/>
      <c r="K262" s="198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201"/>
      <c r="H263" s="149" t="str">
        <f t="shared" si="36"/>
        <v/>
      </c>
      <c r="I263" s="198"/>
      <c r="J263" s="198"/>
      <c r="K263" s="198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201"/>
      <c r="H264" s="149" t="str">
        <f t="shared" si="36"/>
        <v/>
      </c>
      <c r="I264" s="198"/>
      <c r="J264" s="198"/>
      <c r="K264" s="198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201"/>
      <c r="H265" s="149" t="str">
        <f t="shared" si="36"/>
        <v/>
      </c>
      <c r="I265" s="198"/>
      <c r="J265" s="198"/>
      <c r="K265" s="198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201"/>
      <c r="H266" s="149" t="str">
        <f t="shared" si="36"/>
        <v/>
      </c>
      <c r="I266" s="198"/>
      <c r="J266" s="198"/>
      <c r="K266" s="198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201"/>
      <c r="H267" s="149" t="str">
        <f t="shared" si="36"/>
        <v/>
      </c>
      <c r="I267" s="198"/>
      <c r="J267" s="198"/>
      <c r="K267" s="198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201"/>
      <c r="H268" s="149" t="str">
        <f t="shared" si="36"/>
        <v/>
      </c>
      <c r="I268" s="198"/>
      <c r="J268" s="198"/>
      <c r="K268" s="198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201"/>
      <c r="H269" s="149" t="str">
        <f t="shared" si="36"/>
        <v/>
      </c>
      <c r="I269" s="198"/>
      <c r="J269" s="198"/>
      <c r="K269" s="198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201"/>
      <c r="H270" s="149" t="str">
        <f t="shared" si="36"/>
        <v/>
      </c>
      <c r="I270" s="198"/>
      <c r="J270" s="198"/>
      <c r="K270" s="198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201"/>
      <c r="H271" s="149" t="str">
        <f t="shared" si="36"/>
        <v/>
      </c>
      <c r="I271" s="198"/>
      <c r="J271" s="198"/>
      <c r="K271" s="198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201"/>
      <c r="H272" s="149" t="str">
        <f t="shared" si="36"/>
        <v/>
      </c>
      <c r="I272" s="198"/>
      <c r="J272" s="198"/>
      <c r="K272" s="198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201"/>
      <c r="H273" s="149" t="str">
        <f t="shared" si="36"/>
        <v/>
      </c>
      <c r="I273" s="198"/>
      <c r="J273" s="198"/>
      <c r="K273" s="198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201"/>
      <c r="H274" s="149" t="str">
        <f t="shared" si="36"/>
        <v/>
      </c>
      <c r="I274" s="198"/>
      <c r="J274" s="198"/>
      <c r="K274" s="198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201"/>
      <c r="H275" s="149" t="str">
        <f t="shared" si="36"/>
        <v/>
      </c>
      <c r="I275" s="198"/>
      <c r="J275" s="198"/>
      <c r="K275" s="198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201"/>
      <c r="H276" s="149" t="str">
        <f t="shared" si="36"/>
        <v/>
      </c>
      <c r="I276" s="198"/>
      <c r="J276" s="198"/>
      <c r="K276" s="198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201"/>
      <c r="H277" s="149" t="str">
        <f t="shared" si="36"/>
        <v/>
      </c>
      <c r="I277" s="198"/>
      <c r="J277" s="198"/>
      <c r="K277" s="198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201"/>
      <c r="H278" s="149" t="str">
        <f t="shared" si="36"/>
        <v/>
      </c>
      <c r="I278" s="198"/>
      <c r="J278" s="198"/>
      <c r="K278" s="198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201"/>
      <c r="H279" s="149" t="str">
        <f t="shared" si="36"/>
        <v/>
      </c>
      <c r="I279" s="198"/>
      <c r="J279" s="198"/>
      <c r="K279" s="198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201"/>
      <c r="H280" s="149" t="str">
        <f t="shared" si="36"/>
        <v/>
      </c>
      <c r="I280" s="198"/>
      <c r="J280" s="198"/>
      <c r="K280" s="198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201"/>
      <c r="H281" s="149" t="str">
        <f t="shared" si="36"/>
        <v/>
      </c>
      <c r="I281" s="198"/>
      <c r="J281" s="198"/>
      <c r="K281" s="198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201"/>
      <c r="H282" s="149" t="str">
        <f t="shared" si="36"/>
        <v/>
      </c>
      <c r="I282" s="198"/>
      <c r="J282" s="198"/>
      <c r="K282" s="198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201"/>
      <c r="H283" s="149" t="str">
        <f t="shared" si="36"/>
        <v/>
      </c>
      <c r="I283" s="198"/>
      <c r="J283" s="198"/>
      <c r="K283" s="198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201"/>
      <c r="H284" s="149" t="str">
        <f t="shared" si="36"/>
        <v/>
      </c>
      <c r="I284" s="198"/>
      <c r="J284" s="198"/>
      <c r="K284" s="198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201"/>
      <c r="H285" s="149" t="str">
        <f t="shared" si="36"/>
        <v/>
      </c>
      <c r="I285" s="198"/>
      <c r="J285" s="198"/>
      <c r="K285" s="198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201"/>
      <c r="H286" s="149" t="str">
        <f t="shared" si="36"/>
        <v/>
      </c>
      <c r="I286" s="198"/>
      <c r="J286" s="198"/>
      <c r="K286" s="198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201"/>
      <c r="H287" s="149" t="str">
        <f t="shared" si="36"/>
        <v/>
      </c>
      <c r="I287" s="198"/>
      <c r="J287" s="198"/>
      <c r="K287" s="198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201"/>
      <c r="H288" s="149" t="str">
        <f t="shared" si="36"/>
        <v/>
      </c>
      <c r="I288" s="198"/>
      <c r="J288" s="198"/>
      <c r="K288" s="198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201"/>
      <c r="H289" s="149" t="str">
        <f t="shared" si="36"/>
        <v/>
      </c>
      <c r="I289" s="198"/>
      <c r="J289" s="198"/>
      <c r="K289" s="198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201"/>
      <c r="H290" s="149" t="str">
        <f t="shared" si="36"/>
        <v/>
      </c>
      <c r="I290" s="198"/>
      <c r="J290" s="198"/>
      <c r="K290" s="198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201"/>
      <c r="H291" s="149" t="str">
        <f t="shared" si="36"/>
        <v/>
      </c>
      <c r="I291" s="198"/>
      <c r="J291" s="198"/>
      <c r="K291" s="198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201"/>
      <c r="H292" s="149" t="str">
        <f t="shared" si="36"/>
        <v/>
      </c>
      <c r="I292" s="198"/>
      <c r="J292" s="198"/>
      <c r="K292" s="198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201"/>
      <c r="H293" s="149" t="str">
        <f t="shared" si="36"/>
        <v/>
      </c>
      <c r="I293" s="198"/>
      <c r="J293" s="198"/>
      <c r="K293" s="198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201"/>
      <c r="H294" s="149" t="str">
        <f t="shared" si="36"/>
        <v/>
      </c>
      <c r="I294" s="198"/>
      <c r="J294" s="198"/>
      <c r="K294" s="198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201"/>
      <c r="H295" s="149" t="str">
        <f t="shared" si="36"/>
        <v/>
      </c>
      <c r="I295" s="198"/>
      <c r="J295" s="198"/>
      <c r="K295" s="198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201"/>
      <c r="H296" s="149" t="str">
        <f t="shared" si="36"/>
        <v/>
      </c>
      <c r="I296" s="198"/>
      <c r="J296" s="198"/>
      <c r="K296" s="198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201"/>
      <c r="H297" s="149" t="str">
        <f t="shared" si="36"/>
        <v/>
      </c>
      <c r="I297" s="198"/>
      <c r="J297" s="198"/>
      <c r="K297" s="198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201"/>
      <c r="H298" s="149" t="str">
        <f t="shared" si="36"/>
        <v/>
      </c>
      <c r="I298" s="198"/>
      <c r="J298" s="198"/>
      <c r="K298" s="198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201"/>
      <c r="H299" s="149" t="str">
        <f t="shared" si="36"/>
        <v/>
      </c>
      <c r="I299" s="198"/>
      <c r="J299" s="198"/>
      <c r="K299" s="198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201"/>
      <c r="H300" s="149" t="str">
        <f t="shared" si="36"/>
        <v/>
      </c>
      <c r="I300" s="198"/>
      <c r="J300" s="198"/>
      <c r="K300" s="198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201"/>
      <c r="H301" s="149" t="str">
        <f t="shared" si="36"/>
        <v/>
      </c>
      <c r="I301" s="198"/>
      <c r="J301" s="198"/>
      <c r="K301" s="198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201"/>
      <c r="H302" s="149" t="str">
        <f t="shared" si="36"/>
        <v/>
      </c>
      <c r="I302" s="198"/>
      <c r="J302" s="198"/>
      <c r="K302" s="198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201"/>
      <c r="H303" s="149" t="str">
        <f t="shared" si="36"/>
        <v/>
      </c>
      <c r="I303" s="198"/>
      <c r="J303" s="198"/>
      <c r="K303" s="198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201"/>
      <c r="H304" s="149" t="str">
        <f t="shared" si="36"/>
        <v/>
      </c>
      <c r="I304" s="198"/>
      <c r="J304" s="198"/>
      <c r="K304" s="198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201"/>
      <c r="H305" s="149" t="str">
        <f t="shared" si="36"/>
        <v/>
      </c>
      <c r="I305" s="198"/>
      <c r="J305" s="198"/>
      <c r="K305" s="198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201"/>
      <c r="H306" s="149" t="str">
        <f t="shared" si="36"/>
        <v/>
      </c>
      <c r="I306" s="198"/>
      <c r="J306" s="198"/>
      <c r="K306" s="198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201"/>
      <c r="H307" s="149" t="str">
        <f t="shared" si="36"/>
        <v/>
      </c>
      <c r="I307" s="198"/>
      <c r="J307" s="198"/>
      <c r="K307" s="198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201"/>
      <c r="H308" s="149" t="str">
        <f t="shared" si="36"/>
        <v/>
      </c>
      <c r="I308" s="198"/>
      <c r="J308" s="198"/>
      <c r="K308" s="198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201"/>
      <c r="H309" s="149" t="str">
        <f t="shared" si="36"/>
        <v/>
      </c>
      <c r="I309" s="198"/>
      <c r="J309" s="198"/>
      <c r="K309" s="198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201"/>
      <c r="H310" s="149" t="str">
        <f t="shared" si="36"/>
        <v/>
      </c>
      <c r="I310" s="198"/>
      <c r="J310" s="198"/>
      <c r="K310" s="198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201"/>
      <c r="H311" s="149" t="str">
        <f t="shared" si="36"/>
        <v/>
      </c>
      <c r="I311" s="198"/>
      <c r="J311" s="198"/>
      <c r="K311" s="198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201"/>
      <c r="H312" s="149" t="str">
        <f t="shared" si="36"/>
        <v/>
      </c>
      <c r="I312" s="198"/>
      <c r="J312" s="198"/>
      <c r="K312" s="198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201"/>
      <c r="H313" s="149" t="str">
        <f t="shared" si="36"/>
        <v/>
      </c>
      <c r="I313" s="198"/>
      <c r="J313" s="198"/>
      <c r="K313" s="198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201"/>
      <c r="H314" s="149" t="str">
        <f t="shared" si="36"/>
        <v/>
      </c>
      <c r="I314" s="198"/>
      <c r="J314" s="198"/>
      <c r="K314" s="198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201"/>
      <c r="H315" s="149" t="str">
        <f t="shared" si="36"/>
        <v/>
      </c>
      <c r="I315" s="198"/>
      <c r="J315" s="198"/>
      <c r="K315" s="198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201"/>
      <c r="H316" s="149" t="str">
        <f t="shared" si="36"/>
        <v/>
      </c>
      <c r="I316" s="198"/>
      <c r="J316" s="198"/>
      <c r="K316" s="198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201"/>
      <c r="H317" s="149" t="str">
        <f t="shared" si="36"/>
        <v/>
      </c>
      <c r="I317" s="198"/>
      <c r="J317" s="198"/>
      <c r="K317" s="198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201"/>
      <c r="H318" s="149" t="str">
        <f t="shared" si="36"/>
        <v/>
      </c>
      <c r="I318" s="198"/>
      <c r="J318" s="198"/>
      <c r="K318" s="198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201"/>
      <c r="H319" s="149" t="str">
        <f t="shared" si="36"/>
        <v/>
      </c>
      <c r="I319" s="198"/>
      <c r="J319" s="198"/>
      <c r="K319" s="198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201"/>
      <c r="H320" s="149" t="str">
        <f t="shared" si="36"/>
        <v/>
      </c>
      <c r="I320" s="198"/>
      <c r="J320" s="198"/>
      <c r="K320" s="198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201"/>
      <c r="H321" s="149" t="str">
        <f t="shared" si="36"/>
        <v/>
      </c>
      <c r="I321" s="198"/>
      <c r="J321" s="198"/>
      <c r="K321" s="198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201"/>
      <c r="H322" s="149" t="str">
        <f t="shared" si="36"/>
        <v/>
      </c>
      <c r="I322" s="198"/>
      <c r="J322" s="198"/>
      <c r="K322" s="198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201"/>
      <c r="H323" s="149" t="str">
        <f t="shared" si="36"/>
        <v/>
      </c>
      <c r="I323" s="198"/>
      <c r="J323" s="198"/>
      <c r="K323" s="198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201"/>
      <c r="H324" s="149" t="str">
        <f t="shared" ref="H324:H387" si="41">IFERROR(VLOOKUP(G324,$X$6:$Y$50,2,FALSE),"")</f>
        <v/>
      </c>
      <c r="I324" s="198"/>
      <c r="J324" s="198"/>
      <c r="K324" s="198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201"/>
      <c r="H325" s="149" t="str">
        <f t="shared" si="41"/>
        <v/>
      </c>
      <c r="I325" s="198"/>
      <c r="J325" s="198"/>
      <c r="K325" s="198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201"/>
      <c r="H326" s="149" t="str">
        <f t="shared" si="41"/>
        <v/>
      </c>
      <c r="I326" s="198"/>
      <c r="J326" s="198"/>
      <c r="K326" s="198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201"/>
      <c r="H327" s="149" t="str">
        <f t="shared" si="41"/>
        <v/>
      </c>
      <c r="I327" s="198"/>
      <c r="J327" s="198"/>
      <c r="K327" s="198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201"/>
      <c r="H328" s="149" t="str">
        <f t="shared" si="41"/>
        <v/>
      </c>
      <c r="I328" s="198"/>
      <c r="J328" s="198"/>
      <c r="K328" s="198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201"/>
      <c r="H329" s="149" t="str">
        <f t="shared" si="41"/>
        <v/>
      </c>
      <c r="I329" s="198"/>
      <c r="J329" s="198"/>
      <c r="K329" s="198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201"/>
      <c r="H330" s="149" t="str">
        <f t="shared" si="41"/>
        <v/>
      </c>
      <c r="I330" s="198"/>
      <c r="J330" s="198"/>
      <c r="K330" s="198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201"/>
      <c r="H331" s="149" t="str">
        <f t="shared" si="41"/>
        <v/>
      </c>
      <c r="I331" s="198"/>
      <c r="J331" s="198"/>
      <c r="K331" s="198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201"/>
      <c r="H332" s="149" t="str">
        <f t="shared" si="41"/>
        <v/>
      </c>
      <c r="I332" s="198"/>
      <c r="J332" s="198"/>
      <c r="K332" s="198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201"/>
      <c r="H333" s="149" t="str">
        <f t="shared" si="41"/>
        <v/>
      </c>
      <c r="I333" s="198"/>
      <c r="J333" s="198"/>
      <c r="K333" s="198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201"/>
      <c r="H334" s="149" t="str">
        <f t="shared" si="41"/>
        <v/>
      </c>
      <c r="I334" s="198"/>
      <c r="J334" s="198"/>
      <c r="K334" s="198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201"/>
      <c r="H335" s="149" t="str">
        <f t="shared" si="41"/>
        <v/>
      </c>
      <c r="I335" s="198"/>
      <c r="J335" s="198"/>
      <c r="K335" s="198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201"/>
      <c r="H336" s="149" t="str">
        <f t="shared" si="41"/>
        <v/>
      </c>
      <c r="I336" s="198"/>
      <c r="J336" s="198"/>
      <c r="K336" s="198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201"/>
      <c r="H337" s="149" t="str">
        <f t="shared" si="41"/>
        <v/>
      </c>
      <c r="I337" s="198"/>
      <c r="J337" s="198"/>
      <c r="K337" s="198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201"/>
      <c r="H338" s="149" t="str">
        <f t="shared" si="41"/>
        <v/>
      </c>
      <c r="I338" s="198"/>
      <c r="J338" s="198"/>
      <c r="K338" s="198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201"/>
      <c r="H339" s="149" t="str">
        <f t="shared" si="41"/>
        <v/>
      </c>
      <c r="I339" s="198"/>
      <c r="J339" s="198"/>
      <c r="K339" s="198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201"/>
      <c r="H340" s="149" t="str">
        <f t="shared" si="41"/>
        <v/>
      </c>
      <c r="I340" s="198"/>
      <c r="J340" s="198"/>
      <c r="K340" s="198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201"/>
      <c r="H341" s="149" t="str">
        <f t="shared" si="41"/>
        <v/>
      </c>
      <c r="I341" s="198"/>
      <c r="J341" s="198"/>
      <c r="K341" s="198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201"/>
      <c r="H342" s="149" t="str">
        <f t="shared" si="41"/>
        <v/>
      </c>
      <c r="I342" s="198"/>
      <c r="J342" s="198"/>
      <c r="K342" s="198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201"/>
      <c r="H343" s="149" t="str">
        <f t="shared" si="41"/>
        <v/>
      </c>
      <c r="I343" s="198"/>
      <c r="J343" s="198"/>
      <c r="K343" s="198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201"/>
      <c r="H344" s="149" t="str">
        <f t="shared" si="41"/>
        <v/>
      </c>
      <c r="I344" s="198"/>
      <c r="J344" s="198"/>
      <c r="K344" s="198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201"/>
      <c r="H345" s="149" t="str">
        <f t="shared" si="41"/>
        <v/>
      </c>
      <c r="I345" s="198"/>
      <c r="J345" s="198"/>
      <c r="K345" s="198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201"/>
      <c r="H346" s="149" t="str">
        <f t="shared" si="41"/>
        <v/>
      </c>
      <c r="I346" s="198"/>
      <c r="J346" s="198"/>
      <c r="K346" s="198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201"/>
      <c r="H347" s="149" t="str">
        <f t="shared" si="41"/>
        <v/>
      </c>
      <c r="I347" s="198"/>
      <c r="J347" s="198"/>
      <c r="K347" s="198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201"/>
      <c r="H348" s="149" t="str">
        <f t="shared" si="41"/>
        <v/>
      </c>
      <c r="I348" s="198"/>
      <c r="J348" s="198"/>
      <c r="K348" s="198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201"/>
      <c r="H349" s="149" t="str">
        <f t="shared" si="41"/>
        <v/>
      </c>
      <c r="I349" s="198"/>
      <c r="J349" s="198"/>
      <c r="K349" s="198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201"/>
      <c r="H350" s="149" t="str">
        <f t="shared" si="41"/>
        <v/>
      </c>
      <c r="I350" s="198"/>
      <c r="J350" s="198"/>
      <c r="K350" s="198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201"/>
      <c r="H351" s="149" t="str">
        <f t="shared" si="41"/>
        <v/>
      </c>
      <c r="I351" s="198"/>
      <c r="J351" s="198"/>
      <c r="K351" s="198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201"/>
      <c r="H352" s="149" t="str">
        <f t="shared" si="41"/>
        <v/>
      </c>
      <c r="I352" s="198"/>
      <c r="J352" s="198"/>
      <c r="K352" s="198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201"/>
      <c r="H353" s="149" t="str">
        <f t="shared" si="41"/>
        <v/>
      </c>
      <c r="I353" s="198"/>
      <c r="J353" s="198"/>
      <c r="K353" s="198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201"/>
      <c r="H354" s="149" t="str">
        <f t="shared" si="41"/>
        <v/>
      </c>
      <c r="I354" s="198"/>
      <c r="J354" s="198"/>
      <c r="K354" s="198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201"/>
      <c r="H355" s="149" t="str">
        <f t="shared" si="41"/>
        <v/>
      </c>
      <c r="I355" s="198"/>
      <c r="J355" s="198"/>
      <c r="K355" s="198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201"/>
      <c r="H356" s="149" t="str">
        <f t="shared" si="41"/>
        <v/>
      </c>
      <c r="I356" s="198"/>
      <c r="J356" s="198"/>
      <c r="K356" s="198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201"/>
      <c r="H357" s="149" t="str">
        <f t="shared" si="41"/>
        <v/>
      </c>
      <c r="I357" s="198"/>
      <c r="J357" s="198"/>
      <c r="K357" s="198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201"/>
      <c r="H358" s="149" t="str">
        <f t="shared" si="41"/>
        <v/>
      </c>
      <c r="I358" s="198"/>
      <c r="J358" s="198"/>
      <c r="K358" s="198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201"/>
      <c r="H359" s="149" t="str">
        <f t="shared" si="41"/>
        <v/>
      </c>
      <c r="I359" s="198"/>
      <c r="J359" s="198"/>
      <c r="K359" s="198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201"/>
      <c r="H360" s="149" t="str">
        <f t="shared" si="41"/>
        <v/>
      </c>
      <c r="I360" s="198"/>
      <c r="J360" s="198"/>
      <c r="K360" s="198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201"/>
      <c r="H361" s="149" t="str">
        <f t="shared" si="41"/>
        <v/>
      </c>
      <c r="I361" s="198"/>
      <c r="J361" s="198"/>
      <c r="K361" s="198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201"/>
      <c r="H362" s="149" t="str">
        <f t="shared" si="41"/>
        <v/>
      </c>
      <c r="I362" s="198"/>
      <c r="J362" s="198"/>
      <c r="K362" s="198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201"/>
      <c r="H363" s="149" t="str">
        <f t="shared" si="41"/>
        <v/>
      </c>
      <c r="I363" s="198"/>
      <c r="J363" s="198"/>
      <c r="K363" s="198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201"/>
      <c r="H364" s="149" t="str">
        <f t="shared" si="41"/>
        <v/>
      </c>
      <c r="I364" s="198"/>
      <c r="J364" s="198"/>
      <c r="K364" s="198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201"/>
      <c r="H365" s="149" t="str">
        <f t="shared" si="41"/>
        <v/>
      </c>
      <c r="I365" s="198"/>
      <c r="J365" s="198"/>
      <c r="K365" s="198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201"/>
      <c r="H366" s="149" t="str">
        <f t="shared" si="41"/>
        <v/>
      </c>
      <c r="I366" s="198"/>
      <c r="J366" s="198"/>
      <c r="K366" s="198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201"/>
      <c r="H367" s="149" t="str">
        <f t="shared" si="41"/>
        <v/>
      </c>
      <c r="I367" s="198"/>
      <c r="J367" s="198"/>
      <c r="K367" s="198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201"/>
      <c r="H368" s="149" t="str">
        <f t="shared" si="41"/>
        <v/>
      </c>
      <c r="I368" s="198"/>
      <c r="J368" s="198"/>
      <c r="K368" s="198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201"/>
      <c r="H369" s="149" t="str">
        <f t="shared" si="41"/>
        <v/>
      </c>
      <c r="I369" s="198"/>
      <c r="J369" s="198"/>
      <c r="K369" s="198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201"/>
      <c r="H370" s="149" t="str">
        <f t="shared" si="41"/>
        <v/>
      </c>
      <c r="I370" s="198"/>
      <c r="J370" s="198"/>
      <c r="K370" s="198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201"/>
      <c r="H371" s="149" t="str">
        <f t="shared" si="41"/>
        <v/>
      </c>
      <c r="I371" s="198"/>
      <c r="J371" s="198"/>
      <c r="K371" s="198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201"/>
      <c r="H372" s="149" t="str">
        <f t="shared" si="41"/>
        <v/>
      </c>
      <c r="I372" s="198"/>
      <c r="J372" s="198"/>
      <c r="K372" s="198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201"/>
      <c r="H373" s="149" t="str">
        <f t="shared" si="41"/>
        <v/>
      </c>
      <c r="I373" s="198"/>
      <c r="J373" s="198"/>
      <c r="K373" s="198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201"/>
      <c r="H374" s="149" t="str">
        <f t="shared" si="41"/>
        <v/>
      </c>
      <c r="I374" s="198"/>
      <c r="J374" s="198"/>
      <c r="K374" s="198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201"/>
      <c r="H375" s="149" t="str">
        <f t="shared" si="41"/>
        <v/>
      </c>
      <c r="I375" s="198"/>
      <c r="J375" s="198"/>
      <c r="K375" s="198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201"/>
      <c r="H376" s="149" t="str">
        <f t="shared" si="41"/>
        <v/>
      </c>
      <c r="I376" s="198"/>
      <c r="J376" s="198"/>
      <c r="K376" s="198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201"/>
      <c r="H377" s="149" t="str">
        <f t="shared" si="41"/>
        <v/>
      </c>
      <c r="I377" s="198"/>
      <c r="J377" s="198"/>
      <c r="K377" s="198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201"/>
      <c r="H378" s="149" t="str">
        <f t="shared" si="41"/>
        <v/>
      </c>
      <c r="I378" s="198"/>
      <c r="J378" s="198"/>
      <c r="K378" s="198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201"/>
      <c r="H379" s="149" t="str">
        <f t="shared" si="41"/>
        <v/>
      </c>
      <c r="I379" s="198"/>
      <c r="J379" s="198"/>
      <c r="K379" s="198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201"/>
      <c r="H380" s="149" t="str">
        <f t="shared" si="41"/>
        <v/>
      </c>
      <c r="I380" s="198"/>
      <c r="J380" s="198"/>
      <c r="K380" s="198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201"/>
      <c r="H381" s="149" t="str">
        <f t="shared" si="41"/>
        <v/>
      </c>
      <c r="I381" s="198"/>
      <c r="J381" s="198"/>
      <c r="K381" s="198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201"/>
      <c r="H382" s="149" t="str">
        <f t="shared" si="41"/>
        <v/>
      </c>
      <c r="I382" s="198"/>
      <c r="J382" s="198"/>
      <c r="K382" s="198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201"/>
      <c r="H383" s="149" t="str">
        <f t="shared" si="41"/>
        <v/>
      </c>
      <c r="I383" s="198"/>
      <c r="J383" s="198"/>
      <c r="K383" s="198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201"/>
      <c r="H384" s="149" t="str">
        <f t="shared" si="41"/>
        <v/>
      </c>
      <c r="I384" s="198"/>
      <c r="J384" s="198"/>
      <c r="K384" s="198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201"/>
      <c r="H385" s="149" t="str">
        <f t="shared" si="41"/>
        <v/>
      </c>
      <c r="I385" s="198"/>
      <c r="J385" s="198"/>
      <c r="K385" s="198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201"/>
      <c r="H386" s="149" t="str">
        <f t="shared" si="41"/>
        <v/>
      </c>
      <c r="I386" s="198"/>
      <c r="J386" s="198"/>
      <c r="K386" s="198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201"/>
      <c r="H387" s="149" t="str">
        <f t="shared" si="41"/>
        <v/>
      </c>
      <c r="I387" s="198"/>
      <c r="J387" s="198"/>
      <c r="K387" s="198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201"/>
      <c r="H388" s="149" t="str">
        <f t="shared" ref="H388:H451" si="46">IFERROR(VLOOKUP(G388,$X$6:$Y$50,2,FALSE),"")</f>
        <v/>
      </c>
      <c r="I388" s="198"/>
      <c r="J388" s="198"/>
      <c r="K388" s="198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201"/>
      <c r="H389" s="149" t="str">
        <f t="shared" si="46"/>
        <v/>
      </c>
      <c r="I389" s="198"/>
      <c r="J389" s="198"/>
      <c r="K389" s="198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201"/>
      <c r="H390" s="149" t="str">
        <f t="shared" si="46"/>
        <v/>
      </c>
      <c r="I390" s="198"/>
      <c r="J390" s="198"/>
      <c r="K390" s="198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201"/>
      <c r="H391" s="149" t="str">
        <f t="shared" si="46"/>
        <v/>
      </c>
      <c r="I391" s="198"/>
      <c r="J391" s="198"/>
      <c r="K391" s="198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201"/>
      <c r="H392" s="149" t="str">
        <f t="shared" si="46"/>
        <v/>
      </c>
      <c r="I392" s="198"/>
      <c r="J392" s="198"/>
      <c r="K392" s="198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201"/>
      <c r="H393" s="149" t="str">
        <f t="shared" si="46"/>
        <v/>
      </c>
      <c r="I393" s="198"/>
      <c r="J393" s="198"/>
      <c r="K393" s="198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201"/>
      <c r="H394" s="149" t="str">
        <f t="shared" si="46"/>
        <v/>
      </c>
      <c r="I394" s="198"/>
      <c r="J394" s="198"/>
      <c r="K394" s="198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201"/>
      <c r="H395" s="149" t="str">
        <f t="shared" si="46"/>
        <v/>
      </c>
      <c r="I395" s="198"/>
      <c r="J395" s="198"/>
      <c r="K395" s="198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201"/>
      <c r="H396" s="149" t="str">
        <f t="shared" si="46"/>
        <v/>
      </c>
      <c r="I396" s="198"/>
      <c r="J396" s="198"/>
      <c r="K396" s="198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201"/>
      <c r="H397" s="149" t="str">
        <f t="shared" si="46"/>
        <v/>
      </c>
      <c r="I397" s="198"/>
      <c r="J397" s="198"/>
      <c r="K397" s="198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201"/>
      <c r="H398" s="149" t="str">
        <f t="shared" si="46"/>
        <v/>
      </c>
      <c r="I398" s="198"/>
      <c r="J398" s="198"/>
      <c r="K398" s="198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201"/>
      <c r="H399" s="149" t="str">
        <f t="shared" si="46"/>
        <v/>
      </c>
      <c r="I399" s="198"/>
      <c r="J399" s="198"/>
      <c r="K399" s="198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201"/>
      <c r="H400" s="149" t="str">
        <f t="shared" si="46"/>
        <v/>
      </c>
      <c r="I400" s="198"/>
      <c r="J400" s="198"/>
      <c r="K400" s="198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201"/>
      <c r="H401" s="149" t="str">
        <f t="shared" si="46"/>
        <v/>
      </c>
      <c r="I401" s="198"/>
      <c r="J401" s="198"/>
      <c r="K401" s="198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201"/>
      <c r="H402" s="149" t="str">
        <f t="shared" si="46"/>
        <v/>
      </c>
      <c r="I402" s="198"/>
      <c r="J402" s="198"/>
      <c r="K402" s="198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201"/>
      <c r="H403" s="149" t="str">
        <f t="shared" si="46"/>
        <v/>
      </c>
      <c r="I403" s="198"/>
      <c r="J403" s="198"/>
      <c r="K403" s="198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201"/>
      <c r="H404" s="149" t="str">
        <f t="shared" si="46"/>
        <v/>
      </c>
      <c r="I404" s="198"/>
      <c r="J404" s="198"/>
      <c r="K404" s="198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201"/>
      <c r="H405" s="149" t="str">
        <f t="shared" si="46"/>
        <v/>
      </c>
      <c r="I405" s="198"/>
      <c r="J405" s="198"/>
      <c r="K405" s="198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201"/>
      <c r="H406" s="149" t="str">
        <f t="shared" si="46"/>
        <v/>
      </c>
      <c r="I406" s="198"/>
      <c r="J406" s="198"/>
      <c r="K406" s="198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201"/>
      <c r="H407" s="149" t="str">
        <f t="shared" si="46"/>
        <v/>
      </c>
      <c r="I407" s="198"/>
      <c r="J407" s="198"/>
      <c r="K407" s="198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201"/>
      <c r="H408" s="149" t="str">
        <f t="shared" si="46"/>
        <v/>
      </c>
      <c r="I408" s="198"/>
      <c r="J408" s="198"/>
      <c r="K408" s="198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201"/>
      <c r="H409" s="149" t="str">
        <f t="shared" si="46"/>
        <v/>
      </c>
      <c r="I409" s="198"/>
      <c r="J409" s="198"/>
      <c r="K409" s="198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201"/>
      <c r="H410" s="149" t="str">
        <f t="shared" si="46"/>
        <v/>
      </c>
      <c r="I410" s="198"/>
      <c r="J410" s="198"/>
      <c r="K410" s="198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201"/>
      <c r="H411" s="149" t="str">
        <f t="shared" si="46"/>
        <v/>
      </c>
      <c r="I411" s="198"/>
      <c r="J411" s="198"/>
      <c r="K411" s="198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201"/>
      <c r="H412" s="149" t="str">
        <f t="shared" si="46"/>
        <v/>
      </c>
      <c r="I412" s="198"/>
      <c r="J412" s="198"/>
      <c r="K412" s="198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201"/>
      <c r="H413" s="149" t="str">
        <f t="shared" si="46"/>
        <v/>
      </c>
      <c r="I413" s="198"/>
      <c r="J413" s="198"/>
      <c r="K413" s="198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201"/>
      <c r="H414" s="149" t="str">
        <f t="shared" si="46"/>
        <v/>
      </c>
      <c r="I414" s="198"/>
      <c r="J414" s="198"/>
      <c r="K414" s="198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201"/>
      <c r="H415" s="149" t="str">
        <f t="shared" si="46"/>
        <v/>
      </c>
      <c r="I415" s="198"/>
      <c r="J415" s="198"/>
      <c r="K415" s="198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201"/>
      <c r="H416" s="149" t="str">
        <f t="shared" si="46"/>
        <v/>
      </c>
      <c r="I416" s="198"/>
      <c r="J416" s="198"/>
      <c r="K416" s="198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201"/>
      <c r="H417" s="149" t="str">
        <f t="shared" si="46"/>
        <v/>
      </c>
      <c r="I417" s="198"/>
      <c r="J417" s="198"/>
      <c r="K417" s="198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201"/>
      <c r="H418" s="149" t="str">
        <f t="shared" si="46"/>
        <v/>
      </c>
      <c r="I418" s="198"/>
      <c r="J418" s="198"/>
      <c r="K418" s="198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201"/>
      <c r="H419" s="149" t="str">
        <f t="shared" si="46"/>
        <v/>
      </c>
      <c r="I419" s="198"/>
      <c r="J419" s="198"/>
      <c r="K419" s="198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201"/>
      <c r="H420" s="149" t="str">
        <f t="shared" si="46"/>
        <v/>
      </c>
      <c r="I420" s="198"/>
      <c r="J420" s="198"/>
      <c r="K420" s="198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201"/>
      <c r="H421" s="149" t="str">
        <f t="shared" si="46"/>
        <v/>
      </c>
      <c r="I421" s="198"/>
      <c r="J421" s="198"/>
      <c r="K421" s="198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201"/>
      <c r="H422" s="149" t="str">
        <f t="shared" si="46"/>
        <v/>
      </c>
      <c r="I422" s="198"/>
      <c r="J422" s="198"/>
      <c r="K422" s="198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201"/>
      <c r="H423" s="149" t="str">
        <f t="shared" si="46"/>
        <v/>
      </c>
      <c r="I423" s="198"/>
      <c r="J423" s="198"/>
      <c r="K423" s="198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201"/>
      <c r="H424" s="149" t="str">
        <f t="shared" si="46"/>
        <v/>
      </c>
      <c r="I424" s="198"/>
      <c r="J424" s="198"/>
      <c r="K424" s="198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201"/>
      <c r="H425" s="149" t="str">
        <f t="shared" si="46"/>
        <v/>
      </c>
      <c r="I425" s="198"/>
      <c r="J425" s="198"/>
      <c r="K425" s="198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201"/>
      <c r="H426" s="149" t="str">
        <f t="shared" si="46"/>
        <v/>
      </c>
      <c r="I426" s="198"/>
      <c r="J426" s="198"/>
      <c r="K426" s="198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201"/>
      <c r="H427" s="149" t="str">
        <f t="shared" si="46"/>
        <v/>
      </c>
      <c r="I427" s="198"/>
      <c r="J427" s="198"/>
      <c r="K427" s="198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201"/>
      <c r="H428" s="149" t="str">
        <f t="shared" si="46"/>
        <v/>
      </c>
      <c r="I428" s="198"/>
      <c r="J428" s="198"/>
      <c r="K428" s="198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201"/>
      <c r="H429" s="149" t="str">
        <f t="shared" si="46"/>
        <v/>
      </c>
      <c r="I429" s="198"/>
      <c r="J429" s="198"/>
      <c r="K429" s="198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201"/>
      <c r="H430" s="149" t="str">
        <f t="shared" si="46"/>
        <v/>
      </c>
      <c r="I430" s="198"/>
      <c r="J430" s="198"/>
      <c r="K430" s="198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201"/>
      <c r="H431" s="149" t="str">
        <f t="shared" si="46"/>
        <v/>
      </c>
      <c r="I431" s="198"/>
      <c r="J431" s="198"/>
      <c r="K431" s="198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201"/>
      <c r="H432" s="149" t="str">
        <f t="shared" si="46"/>
        <v/>
      </c>
      <c r="I432" s="198"/>
      <c r="J432" s="198"/>
      <c r="K432" s="198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201"/>
      <c r="H433" s="149" t="str">
        <f t="shared" si="46"/>
        <v/>
      </c>
      <c r="I433" s="198"/>
      <c r="J433" s="198"/>
      <c r="K433" s="198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201"/>
      <c r="H434" s="149" t="str">
        <f t="shared" si="46"/>
        <v/>
      </c>
      <c r="I434" s="198"/>
      <c r="J434" s="198"/>
      <c r="K434" s="198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201"/>
      <c r="H435" s="149" t="str">
        <f t="shared" si="46"/>
        <v/>
      </c>
      <c r="I435" s="198"/>
      <c r="J435" s="198"/>
      <c r="K435" s="198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201"/>
      <c r="H436" s="149" t="str">
        <f t="shared" si="46"/>
        <v/>
      </c>
      <c r="I436" s="198"/>
      <c r="J436" s="198"/>
      <c r="K436" s="198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201"/>
      <c r="H437" s="149" t="str">
        <f t="shared" si="46"/>
        <v/>
      </c>
      <c r="I437" s="198"/>
      <c r="J437" s="198"/>
      <c r="K437" s="198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201"/>
      <c r="H438" s="149" t="str">
        <f t="shared" si="46"/>
        <v/>
      </c>
      <c r="I438" s="198"/>
      <c r="J438" s="198"/>
      <c r="K438" s="198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201"/>
      <c r="H439" s="149" t="str">
        <f t="shared" si="46"/>
        <v/>
      </c>
      <c r="I439" s="198"/>
      <c r="J439" s="198"/>
      <c r="K439" s="198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201"/>
      <c r="H440" s="149" t="str">
        <f t="shared" si="46"/>
        <v/>
      </c>
      <c r="I440" s="198"/>
      <c r="J440" s="198"/>
      <c r="K440" s="198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201"/>
      <c r="H441" s="149" t="str">
        <f t="shared" si="46"/>
        <v/>
      </c>
      <c r="I441" s="198"/>
      <c r="J441" s="198"/>
      <c r="K441" s="198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201"/>
      <c r="H442" s="149" t="str">
        <f t="shared" si="46"/>
        <v/>
      </c>
      <c r="I442" s="198"/>
      <c r="J442" s="198"/>
      <c r="K442" s="198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201"/>
      <c r="H443" s="149" t="str">
        <f t="shared" si="46"/>
        <v/>
      </c>
      <c r="I443" s="198"/>
      <c r="J443" s="198"/>
      <c r="K443" s="198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201"/>
      <c r="H444" s="149" t="str">
        <f t="shared" si="46"/>
        <v/>
      </c>
      <c r="I444" s="198"/>
      <c r="J444" s="198"/>
      <c r="K444" s="198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201"/>
      <c r="H445" s="149" t="str">
        <f t="shared" si="46"/>
        <v/>
      </c>
      <c r="I445" s="198"/>
      <c r="J445" s="198"/>
      <c r="K445" s="198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201"/>
      <c r="H446" s="149" t="str">
        <f t="shared" si="46"/>
        <v/>
      </c>
      <c r="I446" s="198"/>
      <c r="J446" s="198"/>
      <c r="K446" s="198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201"/>
      <c r="H447" s="149" t="str">
        <f t="shared" si="46"/>
        <v/>
      </c>
      <c r="I447" s="198"/>
      <c r="J447" s="198"/>
      <c r="K447" s="198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201"/>
      <c r="H448" s="149" t="str">
        <f t="shared" si="46"/>
        <v/>
      </c>
      <c r="I448" s="198"/>
      <c r="J448" s="198"/>
      <c r="K448" s="198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201"/>
      <c r="H449" s="149" t="str">
        <f t="shared" si="46"/>
        <v/>
      </c>
      <c r="I449" s="198"/>
      <c r="J449" s="198"/>
      <c r="K449" s="198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201"/>
      <c r="H450" s="149" t="str">
        <f t="shared" si="46"/>
        <v/>
      </c>
      <c r="I450" s="198"/>
      <c r="J450" s="198"/>
      <c r="K450" s="198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201"/>
      <c r="H451" s="149" t="str">
        <f t="shared" si="46"/>
        <v/>
      </c>
      <c r="I451" s="198"/>
      <c r="J451" s="198"/>
      <c r="K451" s="198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201"/>
      <c r="H452" s="149" t="str">
        <f t="shared" ref="H452:H501" si="51">IFERROR(VLOOKUP(G452,$X$6:$Y$50,2,FALSE),"")</f>
        <v/>
      </c>
      <c r="I452" s="198"/>
      <c r="J452" s="198"/>
      <c r="K452" s="198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201"/>
      <c r="H453" s="149" t="str">
        <f t="shared" si="51"/>
        <v/>
      </c>
      <c r="I453" s="198"/>
      <c r="J453" s="198"/>
      <c r="K453" s="198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201"/>
      <c r="H454" s="149" t="str">
        <f t="shared" si="51"/>
        <v/>
      </c>
      <c r="I454" s="198"/>
      <c r="J454" s="198"/>
      <c r="K454" s="198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201"/>
      <c r="H455" s="149" t="str">
        <f t="shared" si="51"/>
        <v/>
      </c>
      <c r="I455" s="198"/>
      <c r="J455" s="198"/>
      <c r="K455" s="198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201"/>
      <c r="H456" s="149" t="str">
        <f t="shared" si="51"/>
        <v/>
      </c>
      <c r="I456" s="198"/>
      <c r="J456" s="198"/>
      <c r="K456" s="198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201"/>
      <c r="H457" s="149" t="str">
        <f t="shared" si="51"/>
        <v/>
      </c>
      <c r="I457" s="198"/>
      <c r="J457" s="198"/>
      <c r="K457" s="198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201"/>
      <c r="H458" s="149" t="str">
        <f t="shared" si="51"/>
        <v/>
      </c>
      <c r="I458" s="198"/>
      <c r="J458" s="198"/>
      <c r="K458" s="198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201"/>
      <c r="H459" s="149" t="str">
        <f t="shared" si="51"/>
        <v/>
      </c>
      <c r="I459" s="198"/>
      <c r="J459" s="198"/>
      <c r="K459" s="198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201"/>
      <c r="H460" s="149" t="str">
        <f t="shared" si="51"/>
        <v/>
      </c>
      <c r="I460" s="198"/>
      <c r="J460" s="198"/>
      <c r="K460" s="198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201"/>
      <c r="H461" s="149" t="str">
        <f t="shared" si="51"/>
        <v/>
      </c>
      <c r="I461" s="198"/>
      <c r="J461" s="198"/>
      <c r="K461" s="198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201"/>
      <c r="H462" s="149" t="str">
        <f t="shared" si="51"/>
        <v/>
      </c>
      <c r="I462" s="198"/>
      <c r="J462" s="198"/>
      <c r="K462" s="198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201"/>
      <c r="H463" s="149" t="str">
        <f t="shared" si="51"/>
        <v/>
      </c>
      <c r="I463" s="198"/>
      <c r="J463" s="198"/>
      <c r="K463" s="198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201"/>
      <c r="H464" s="149" t="str">
        <f t="shared" si="51"/>
        <v/>
      </c>
      <c r="I464" s="198"/>
      <c r="J464" s="198"/>
      <c r="K464" s="198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201"/>
      <c r="H465" s="149" t="str">
        <f t="shared" si="51"/>
        <v/>
      </c>
      <c r="I465" s="198"/>
      <c r="J465" s="198"/>
      <c r="K465" s="198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201"/>
      <c r="H466" s="149" t="str">
        <f t="shared" si="51"/>
        <v/>
      </c>
      <c r="I466" s="198"/>
      <c r="J466" s="198"/>
      <c r="K466" s="198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201"/>
      <c r="H467" s="149" t="str">
        <f t="shared" si="51"/>
        <v/>
      </c>
      <c r="I467" s="198"/>
      <c r="J467" s="198"/>
      <c r="K467" s="198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201"/>
      <c r="H468" s="149" t="str">
        <f t="shared" si="51"/>
        <v/>
      </c>
      <c r="I468" s="198"/>
      <c r="J468" s="198"/>
      <c r="K468" s="198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201"/>
      <c r="H469" s="149" t="str">
        <f t="shared" si="51"/>
        <v/>
      </c>
      <c r="I469" s="198"/>
      <c r="J469" s="198"/>
      <c r="K469" s="198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201"/>
      <c r="H470" s="149" t="str">
        <f t="shared" si="51"/>
        <v/>
      </c>
      <c r="I470" s="198"/>
      <c r="J470" s="198"/>
      <c r="K470" s="198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201"/>
      <c r="H471" s="149" t="str">
        <f t="shared" si="51"/>
        <v/>
      </c>
      <c r="I471" s="198"/>
      <c r="J471" s="198"/>
      <c r="K471" s="198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201"/>
      <c r="H472" s="149" t="str">
        <f t="shared" si="51"/>
        <v/>
      </c>
      <c r="I472" s="198"/>
      <c r="J472" s="198"/>
      <c r="K472" s="198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201"/>
      <c r="H473" s="149" t="str">
        <f t="shared" si="51"/>
        <v/>
      </c>
      <c r="I473" s="198"/>
      <c r="J473" s="198"/>
      <c r="K473" s="198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201"/>
      <c r="H474" s="149" t="str">
        <f t="shared" si="51"/>
        <v/>
      </c>
      <c r="I474" s="198"/>
      <c r="J474" s="198"/>
      <c r="K474" s="198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201"/>
      <c r="H475" s="149" t="str">
        <f t="shared" si="51"/>
        <v/>
      </c>
      <c r="I475" s="198"/>
      <c r="J475" s="198"/>
      <c r="K475" s="198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201"/>
      <c r="H476" s="149" t="str">
        <f t="shared" si="51"/>
        <v/>
      </c>
      <c r="I476" s="198"/>
      <c r="J476" s="198"/>
      <c r="K476" s="198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201"/>
      <c r="H477" s="149" t="str">
        <f t="shared" si="51"/>
        <v/>
      </c>
      <c r="I477" s="198"/>
      <c r="J477" s="198"/>
      <c r="K477" s="198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201"/>
      <c r="H478" s="149" t="str">
        <f t="shared" si="51"/>
        <v/>
      </c>
      <c r="I478" s="198"/>
      <c r="J478" s="198"/>
      <c r="K478" s="198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201"/>
      <c r="H479" s="149" t="str">
        <f t="shared" si="51"/>
        <v/>
      </c>
      <c r="I479" s="198"/>
      <c r="J479" s="198"/>
      <c r="K479" s="198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201"/>
      <c r="H480" s="149" t="str">
        <f t="shared" si="51"/>
        <v/>
      </c>
      <c r="I480" s="198"/>
      <c r="J480" s="198"/>
      <c r="K480" s="198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201"/>
      <c r="H481" s="149" t="str">
        <f t="shared" si="51"/>
        <v/>
      </c>
      <c r="I481" s="198"/>
      <c r="J481" s="198"/>
      <c r="K481" s="198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201"/>
      <c r="H482" s="149" t="str">
        <f t="shared" si="51"/>
        <v/>
      </c>
      <c r="I482" s="198"/>
      <c r="J482" s="198"/>
      <c r="K482" s="198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201"/>
      <c r="H483" s="149" t="str">
        <f t="shared" si="51"/>
        <v/>
      </c>
      <c r="I483" s="198"/>
      <c r="J483" s="198"/>
      <c r="K483" s="198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201"/>
      <c r="H484" s="149" t="str">
        <f t="shared" si="51"/>
        <v/>
      </c>
      <c r="I484" s="198"/>
      <c r="J484" s="198"/>
      <c r="K484" s="198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201"/>
      <c r="H485" s="149" t="str">
        <f t="shared" si="51"/>
        <v/>
      </c>
      <c r="I485" s="198"/>
      <c r="J485" s="198"/>
      <c r="K485" s="198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201"/>
      <c r="H486" s="149" t="str">
        <f t="shared" si="51"/>
        <v/>
      </c>
      <c r="I486" s="198"/>
      <c r="J486" s="198"/>
      <c r="K486" s="198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201"/>
      <c r="H487" s="149" t="str">
        <f t="shared" si="51"/>
        <v/>
      </c>
      <c r="I487" s="198"/>
      <c r="J487" s="198"/>
      <c r="K487" s="198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201"/>
      <c r="H488" s="149" t="str">
        <f t="shared" si="51"/>
        <v/>
      </c>
      <c r="I488" s="198"/>
      <c r="J488" s="198"/>
      <c r="K488" s="198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201"/>
      <c r="H489" s="149" t="str">
        <f t="shared" si="51"/>
        <v/>
      </c>
      <c r="I489" s="198"/>
      <c r="J489" s="198"/>
      <c r="K489" s="198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201"/>
      <c r="H490" s="149" t="str">
        <f t="shared" si="51"/>
        <v/>
      </c>
      <c r="I490" s="198"/>
      <c r="J490" s="198"/>
      <c r="K490" s="198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201"/>
      <c r="H491" s="149" t="str">
        <f t="shared" si="51"/>
        <v/>
      </c>
      <c r="I491" s="198"/>
      <c r="J491" s="198"/>
      <c r="K491" s="198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201"/>
      <c r="H492" s="149" t="str">
        <f t="shared" si="51"/>
        <v/>
      </c>
      <c r="I492" s="198"/>
      <c r="J492" s="198"/>
      <c r="K492" s="198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201"/>
      <c r="H493" s="149" t="str">
        <f t="shared" si="51"/>
        <v/>
      </c>
      <c r="I493" s="198"/>
      <c r="J493" s="198"/>
      <c r="K493" s="198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201"/>
      <c r="H494" s="149" t="str">
        <f t="shared" si="51"/>
        <v/>
      </c>
      <c r="I494" s="198"/>
      <c r="J494" s="198"/>
      <c r="K494" s="198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201"/>
      <c r="H495" s="149" t="str">
        <f t="shared" si="51"/>
        <v/>
      </c>
      <c r="I495" s="198"/>
      <c r="J495" s="198"/>
      <c r="K495" s="198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201"/>
      <c r="H496" s="149" t="str">
        <f t="shared" si="51"/>
        <v/>
      </c>
      <c r="I496" s="198"/>
      <c r="J496" s="198"/>
      <c r="K496" s="198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201"/>
      <c r="H497" s="149" t="str">
        <f t="shared" si="51"/>
        <v/>
      </c>
      <c r="I497" s="198"/>
      <c r="J497" s="198"/>
      <c r="K497" s="198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201"/>
      <c r="H498" s="149" t="str">
        <f t="shared" si="51"/>
        <v/>
      </c>
      <c r="I498" s="198"/>
      <c r="J498" s="198"/>
      <c r="K498" s="198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201"/>
      <c r="H499" s="149" t="str">
        <f t="shared" si="51"/>
        <v/>
      </c>
      <c r="I499" s="198"/>
      <c r="J499" s="198"/>
      <c r="K499" s="198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201"/>
      <c r="H500" s="149" t="str">
        <f t="shared" si="51"/>
        <v/>
      </c>
      <c r="I500" s="198"/>
      <c r="J500" s="198"/>
      <c r="K500" s="198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IF(C501="","",VLOOKUP('Opći dio'!$C$3,'Opći dio'!$L$6:$U$135,10,FALSE))</f>
        <v/>
      </c>
      <c r="B501" s="148" t="str">
        <f>IF(C501="","",VLOOKUP('Opći dio'!$C$3,'Opći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201"/>
      <c r="H501" s="149" t="str">
        <f t="shared" si="51"/>
        <v/>
      </c>
      <c r="I501" s="198"/>
      <c r="J501" s="198"/>
      <c r="K501" s="198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showGridLines="0" zoomScale="90" zoomScaleNormal="90" workbookViewId="0">
      <pane ySplit="2" topLeftCell="A3" activePane="bottomLeft" state="frozen"/>
      <selection pane="bottomLeft" activeCell="H5" sqref="H5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63" t="s">
        <v>290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4" t="s">
        <v>292</v>
      </c>
      <c r="B3" s="265"/>
      <c r="C3" s="266" t="s">
        <v>51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</row>
    <row r="4" spans="1:22" s="91" customFormat="1" ht="89.25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1662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57000</v>
      </c>
      <c r="D5" s="3"/>
      <c r="E5" s="3"/>
      <c r="F5" s="3">
        <v>25000</v>
      </c>
      <c r="G5" s="3">
        <v>32000</v>
      </c>
      <c r="H5" s="3"/>
      <c r="I5" s="3"/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11107203</v>
      </c>
      <c r="D6" s="15">
        <f t="shared" ref="D6:P6" si="1">+D26+D33</f>
        <v>9557262</v>
      </c>
      <c r="E6" s="15">
        <f t="shared" si="1"/>
        <v>0</v>
      </c>
      <c r="F6" s="15">
        <f t="shared" si="1"/>
        <v>185000</v>
      </c>
      <c r="G6" s="15">
        <f t="shared" si="1"/>
        <v>280000</v>
      </c>
      <c r="H6" s="15">
        <f t="shared" si="1"/>
        <v>0</v>
      </c>
      <c r="I6" s="15">
        <f t="shared" si="1"/>
        <v>874941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210000</v>
      </c>
      <c r="N6" s="15">
        <f t="shared" si="1"/>
        <v>0</v>
      </c>
      <c r="O6" s="15">
        <f t="shared" si="1"/>
        <v>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-60000</v>
      </c>
      <c r="D7" s="115">
        <v>0</v>
      </c>
      <c r="E7" s="115"/>
      <c r="F7" s="115">
        <v>-20000</v>
      </c>
      <c r="G7" s="115">
        <v>-40000</v>
      </c>
      <c r="H7" s="115"/>
      <c r="I7" s="115"/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11104203</v>
      </c>
      <c r="D8" s="15">
        <f>+D5+D6+D7</f>
        <v>9557262</v>
      </c>
      <c r="E8" s="15">
        <f t="shared" ref="E8:P8" si="2">+E5+E6+E7</f>
        <v>0</v>
      </c>
      <c r="F8" s="15">
        <f t="shared" si="2"/>
        <v>190000</v>
      </c>
      <c r="G8" s="15">
        <f t="shared" si="2"/>
        <v>272000</v>
      </c>
      <c r="H8" s="15">
        <f t="shared" si="2"/>
        <v>0</v>
      </c>
      <c r="I8" s="15">
        <f t="shared" si="2"/>
        <v>874941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210000</v>
      </c>
      <c r="N8" s="15">
        <f t="shared" si="2"/>
        <v>0</v>
      </c>
      <c r="O8" s="15">
        <f t="shared" si="2"/>
        <v>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11104203</v>
      </c>
      <c r="D9" s="138">
        <f>+'PLAN RASHODA I IZDATAKA'!D3</f>
        <v>9557262</v>
      </c>
      <c r="E9" s="138">
        <f>+'PLAN RASHODA I IZDATAKA'!E3</f>
        <v>0</v>
      </c>
      <c r="F9" s="138">
        <f>+'PLAN RASHODA I IZDATAKA'!F3</f>
        <v>190000</v>
      </c>
      <c r="G9" s="138">
        <f>+'PLAN RASHODA I IZDATAKA'!G3</f>
        <v>272000</v>
      </c>
      <c r="H9" s="138">
        <f>+'PLAN RASHODA I IZDATAKA'!H3</f>
        <v>0</v>
      </c>
      <c r="I9" s="138">
        <f>+'PLAN RASHODA I IZDATAKA'!I3</f>
        <v>874941</v>
      </c>
      <c r="J9" s="138">
        <f>+'PLAN RASHODA I IZDATAKA'!J3</f>
        <v>0</v>
      </c>
      <c r="K9" s="138">
        <f>+'PLAN RASHODA I IZDATAKA'!K3</f>
        <v>0</v>
      </c>
      <c r="L9" s="138">
        <f>+'PLAN RASHODA I IZDATAKA'!L3</f>
        <v>0</v>
      </c>
      <c r="M9" s="138">
        <f>+'PLAN RASHODA I IZDATAKA'!M3</f>
        <v>210000</v>
      </c>
      <c r="N9" s="138">
        <f>+'PLAN RASHODA I IZDATAKA'!N3</f>
        <v>0</v>
      </c>
      <c r="O9" s="138">
        <f>+'PLAN RASHODA I IZDATAKA'!O3</f>
        <v>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0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0</v>
      </c>
      <c r="I12" s="204">
        <f>SUMIFS('Plan prihoda za unos u SAP'!$G$3:$G$501,'Plan prihoda za unos u SAP'!$C$3:$C$501,"=52",'Plan prihoda za unos u SAP'!$K$3:$K$501,"=632")</f>
        <v>0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0</v>
      </c>
      <c r="L12" s="204">
        <f>SUMIFS('Plan prihoda za unos u SAP'!$G$3:$G$501,'Plan prihoda za unos u SAP'!$C$3:$C$501,"=563",'Plan prihoda za unos u SAP'!$K$3:$K$501,"=632")</f>
        <v>0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816</v>
      </c>
      <c r="B14" s="97" t="s">
        <v>817</v>
      </c>
      <c r="C14" s="71">
        <f t="shared" si="5"/>
        <v>130000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130000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0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0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744941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744941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819</v>
      </c>
      <c r="B19" s="97" t="s">
        <v>818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280000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280000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185000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185000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210000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210000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9557262</v>
      </c>
      <c r="D23" s="204">
        <f>SUMIFS('Plan prihoda za unos u SAP'!$G$3:$G$501,'Plan prihoda za unos u SAP'!$C$3:$C$501,"=11",'Plan prihoda za unos u SAP'!$K$3:$K$501,"=671")</f>
        <v>9557262</v>
      </c>
      <c r="E23" s="204">
        <f>SUMIFS('Plan prihoda za unos u SAP'!$G$3:$G$501,'Plan prihoda za unos u SAP'!$C$3:$C$501,"=12",'Plan prihoda za unos u SAP'!$K$3:$K$501,"=671")</f>
        <v>0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11107203</v>
      </c>
      <c r="D26" s="4">
        <f t="shared" ref="D26:P26" si="6">SUM(D11:D25)</f>
        <v>9557262</v>
      </c>
      <c r="E26" s="4">
        <f t="shared" si="6"/>
        <v>0</v>
      </c>
      <c r="F26" s="4">
        <f t="shared" si="6"/>
        <v>185000</v>
      </c>
      <c r="G26" s="4">
        <f t="shared" si="6"/>
        <v>280000</v>
      </c>
      <c r="H26" s="4">
        <f t="shared" si="6"/>
        <v>0</v>
      </c>
      <c r="I26" s="4">
        <f t="shared" si="6"/>
        <v>874941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210000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69" t="s">
        <v>339</v>
      </c>
      <c r="B37" s="269"/>
      <c r="C37" s="72">
        <f>SUM(D37:P37)</f>
        <v>11107203</v>
      </c>
      <c r="D37" s="72">
        <f t="shared" ref="D37:P37" si="9">+D36+D33+D26</f>
        <v>9557262</v>
      </c>
      <c r="E37" s="72">
        <f t="shared" si="9"/>
        <v>0</v>
      </c>
      <c r="F37" s="72">
        <f t="shared" si="9"/>
        <v>185000</v>
      </c>
      <c r="G37" s="72">
        <f t="shared" si="9"/>
        <v>280000</v>
      </c>
      <c r="H37" s="72">
        <f t="shared" si="9"/>
        <v>0</v>
      </c>
      <c r="I37" s="72">
        <f t="shared" si="9"/>
        <v>874941</v>
      </c>
      <c r="J37" s="72">
        <f t="shared" si="9"/>
        <v>0</v>
      </c>
      <c r="K37" s="72">
        <f t="shared" si="9"/>
        <v>0</v>
      </c>
      <c r="L37" s="72">
        <f t="shared" si="9"/>
        <v>0</v>
      </c>
      <c r="M37" s="72">
        <f t="shared" si="9"/>
        <v>210000</v>
      </c>
      <c r="N37" s="72">
        <f t="shared" si="9"/>
        <v>0</v>
      </c>
      <c r="O37" s="72">
        <f t="shared" si="9"/>
        <v>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4" t="s">
        <v>292</v>
      </c>
      <c r="B39" s="265"/>
      <c r="C39" s="266" t="s">
        <v>54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8"/>
    </row>
    <row r="40" spans="1:22" s="91" customFormat="1" ht="89.25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1662</v>
      </c>
    </row>
    <row r="41" spans="1:22" s="91" customFormat="1">
      <c r="A41" s="96"/>
      <c r="B41" s="97" t="s">
        <v>11</v>
      </c>
      <c r="C41" s="71">
        <f t="shared" ref="C41:C46" si="10">SUM(D41:P41)</f>
        <v>60000</v>
      </c>
      <c r="D41" s="203">
        <f t="shared" ref="D41:P41" si="11">-D7</f>
        <v>0</v>
      </c>
      <c r="E41" s="203">
        <f t="shared" si="11"/>
        <v>0</v>
      </c>
      <c r="F41" s="203">
        <f t="shared" si="11"/>
        <v>20000</v>
      </c>
      <c r="G41" s="203">
        <f t="shared" si="11"/>
        <v>40000</v>
      </c>
      <c r="H41" s="203">
        <f t="shared" si="11"/>
        <v>0</v>
      </c>
      <c r="I41" s="203">
        <f t="shared" si="11"/>
        <v>0</v>
      </c>
      <c r="J41" s="203">
        <f t="shared" si="11"/>
        <v>0</v>
      </c>
      <c r="K41" s="203">
        <f t="shared" si="11"/>
        <v>0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10961364</v>
      </c>
      <c r="D42" s="15">
        <f t="shared" ref="D42:P42" si="12">+D62+D69</f>
        <v>9640200</v>
      </c>
      <c r="E42" s="15">
        <f t="shared" si="12"/>
        <v>0</v>
      </c>
      <c r="F42" s="15">
        <f t="shared" si="12"/>
        <v>190000</v>
      </c>
      <c r="G42" s="15">
        <f t="shared" si="12"/>
        <v>290000</v>
      </c>
      <c r="H42" s="15">
        <f t="shared" si="12"/>
        <v>0</v>
      </c>
      <c r="I42" s="15">
        <f t="shared" si="12"/>
        <v>781164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60000</v>
      </c>
      <c r="N42" s="15">
        <f t="shared" si="12"/>
        <v>0</v>
      </c>
      <c r="O42" s="15">
        <f t="shared" si="12"/>
        <v>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-75000</v>
      </c>
      <c r="D43" s="115"/>
      <c r="E43" s="115"/>
      <c r="F43" s="115">
        <v>-30000</v>
      </c>
      <c r="G43" s="115">
        <v>-45000</v>
      </c>
      <c r="H43" s="115"/>
      <c r="I43" s="115"/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10946364</v>
      </c>
      <c r="D44" s="15">
        <f>+D41+D42+D43</f>
        <v>9640200</v>
      </c>
      <c r="E44" s="15">
        <f t="shared" ref="E44:P44" si="13">+E41+E42+E43</f>
        <v>0</v>
      </c>
      <c r="F44" s="15">
        <f t="shared" si="13"/>
        <v>180000</v>
      </c>
      <c r="G44" s="15">
        <f t="shared" si="13"/>
        <v>285000</v>
      </c>
      <c r="H44" s="15">
        <f t="shared" si="13"/>
        <v>0</v>
      </c>
      <c r="I44" s="15">
        <f t="shared" si="13"/>
        <v>781164</v>
      </c>
      <c r="J44" s="15">
        <f t="shared" si="13"/>
        <v>0</v>
      </c>
      <c r="K44" s="15">
        <f t="shared" si="13"/>
        <v>0</v>
      </c>
      <c r="L44" s="15">
        <f t="shared" si="13"/>
        <v>0</v>
      </c>
      <c r="M44" s="15">
        <f t="shared" si="13"/>
        <v>60000</v>
      </c>
      <c r="N44" s="15">
        <f t="shared" si="13"/>
        <v>0</v>
      </c>
      <c r="O44" s="15">
        <f t="shared" si="13"/>
        <v>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10946364</v>
      </c>
      <c r="D45" s="138">
        <f>+'PLAN RASHODA I IZDATAKA'!D71</f>
        <v>9640200</v>
      </c>
      <c r="E45" s="138">
        <f>+'PLAN RASHODA I IZDATAKA'!E71</f>
        <v>0</v>
      </c>
      <c r="F45" s="138">
        <f>+'PLAN RASHODA I IZDATAKA'!F71</f>
        <v>180000</v>
      </c>
      <c r="G45" s="138">
        <f>+'PLAN RASHODA I IZDATAKA'!G71</f>
        <v>285000</v>
      </c>
      <c r="H45" s="138">
        <f>+'PLAN RASHODA I IZDATAKA'!H71</f>
        <v>0</v>
      </c>
      <c r="I45" s="138">
        <f>+'PLAN RASHODA I IZDATAKA'!I71</f>
        <v>781164</v>
      </c>
      <c r="J45" s="138">
        <f>+'PLAN RASHODA I IZDATAKA'!J71</f>
        <v>0</v>
      </c>
      <c r="K45" s="138">
        <f>+'PLAN RASHODA I IZDATAKA'!K71</f>
        <v>0</v>
      </c>
      <c r="L45" s="138">
        <f>+'PLAN RASHODA I IZDATAKA'!L71</f>
        <v>0</v>
      </c>
      <c r="M45" s="138">
        <f>+'PLAN RASHODA I IZDATAKA'!M71</f>
        <v>60000</v>
      </c>
      <c r="N45" s="138">
        <f>+'PLAN RASHODA I IZDATAKA'!N71</f>
        <v>0</v>
      </c>
      <c r="O45" s="138">
        <f>+'PLAN RASHODA I IZDATAKA'!O71</f>
        <v>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0</v>
      </c>
      <c r="D46" s="120">
        <f>+D44-D45</f>
        <v>0</v>
      </c>
      <c r="E46" s="120">
        <f t="shared" ref="E46:P46" si="14">+E44-E45</f>
        <v>0</v>
      </c>
      <c r="F46" s="120">
        <f t="shared" si="14"/>
        <v>0</v>
      </c>
      <c r="G46" s="120">
        <f t="shared" si="14"/>
        <v>0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0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0</v>
      </c>
      <c r="I48" s="204">
        <f>SUMIFS('Plan prihoda za unos u SAP'!$H$3:$H$501,'Plan prihoda za unos u SAP'!$C$3:$C$501,"=52",'Plan prihoda za unos u SAP'!$K$3:$K$501,"=632")</f>
        <v>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0</v>
      </c>
      <c r="L48" s="204">
        <f>SUMIFS('Plan prihoda za unos u SAP'!$H$3:$H$501,'Plan prihoda za unos u SAP'!$C$3:$C$501,"=563",'Plan prihoda za unos u SAP'!$K$3:$K$501,"=632")</f>
        <v>0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816</v>
      </c>
      <c r="B50" s="97" t="s">
        <v>817</v>
      </c>
      <c r="C50" s="71">
        <f t="shared" si="16"/>
        <v>0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0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0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0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781164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781164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819</v>
      </c>
      <c r="B55" s="97" t="s">
        <v>818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290000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290000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190000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190000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60000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60000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9640200</v>
      </c>
      <c r="D59" s="204">
        <f>SUMIFS('Plan prihoda za unos u SAP'!$H$3:$H$501,'Plan prihoda za unos u SAP'!$C$3:$C$501,"=11",'Plan prihoda za unos u SAP'!$K$3:$K$501,"=671")</f>
        <v>9640200</v>
      </c>
      <c r="E59" s="204">
        <f>SUMIFS('Plan prihoda za unos u SAP'!$H$3:$H$501,'Plan prihoda za unos u SAP'!$C$3:$C$501,"=12",'Plan prihoda za unos u SAP'!$K$3:$K$501,"=671")</f>
        <v>0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10961364</v>
      </c>
      <c r="D62" s="4">
        <f t="shared" ref="D62:P62" si="17">SUM(D47:D61)</f>
        <v>9640200</v>
      </c>
      <c r="E62" s="4">
        <f t="shared" si="17"/>
        <v>0</v>
      </c>
      <c r="F62" s="4">
        <f t="shared" si="17"/>
        <v>190000</v>
      </c>
      <c r="G62" s="4">
        <f t="shared" si="17"/>
        <v>290000</v>
      </c>
      <c r="H62" s="4">
        <f t="shared" si="17"/>
        <v>0</v>
      </c>
      <c r="I62" s="4">
        <f t="shared" si="17"/>
        <v>781164</v>
      </c>
      <c r="J62" s="4">
        <f t="shared" si="17"/>
        <v>0</v>
      </c>
      <c r="K62" s="4">
        <f t="shared" si="17"/>
        <v>0</v>
      </c>
      <c r="L62" s="4">
        <f t="shared" si="17"/>
        <v>0</v>
      </c>
      <c r="M62" s="4">
        <f t="shared" si="17"/>
        <v>60000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69" t="s">
        <v>339</v>
      </c>
      <c r="B73" s="269"/>
      <c r="C73" s="72">
        <f>SUM(D73:P73)</f>
        <v>10961364</v>
      </c>
      <c r="D73" s="72">
        <f t="shared" ref="D73:P73" si="20">+D72+D69+D62</f>
        <v>9640200</v>
      </c>
      <c r="E73" s="72">
        <f t="shared" si="20"/>
        <v>0</v>
      </c>
      <c r="F73" s="72">
        <f t="shared" si="20"/>
        <v>190000</v>
      </c>
      <c r="G73" s="72">
        <f t="shared" si="20"/>
        <v>290000</v>
      </c>
      <c r="H73" s="72">
        <f t="shared" si="20"/>
        <v>0</v>
      </c>
      <c r="I73" s="72">
        <f t="shared" si="20"/>
        <v>781164</v>
      </c>
      <c r="J73" s="72">
        <f t="shared" si="20"/>
        <v>0</v>
      </c>
      <c r="K73" s="72">
        <f t="shared" si="20"/>
        <v>0</v>
      </c>
      <c r="L73" s="72">
        <f t="shared" si="20"/>
        <v>0</v>
      </c>
      <c r="M73" s="72">
        <f t="shared" si="20"/>
        <v>60000</v>
      </c>
      <c r="N73" s="72">
        <f t="shared" si="20"/>
        <v>0</v>
      </c>
      <c r="O73" s="72">
        <f t="shared" si="20"/>
        <v>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4" t="s">
        <v>292</v>
      </c>
      <c r="B75" s="265"/>
      <c r="C75" s="266" t="s">
        <v>840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8"/>
    </row>
    <row r="76" spans="1:22" s="91" customFormat="1" ht="89.25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1662</v>
      </c>
    </row>
    <row r="77" spans="1:22" s="91" customFormat="1">
      <c r="A77" s="96"/>
      <c r="B77" s="97" t="s">
        <v>11</v>
      </c>
      <c r="C77" s="71">
        <f t="shared" ref="C77:C82" si="21">SUM(D77:P77)</f>
        <v>75000</v>
      </c>
      <c r="D77" s="203">
        <f t="shared" ref="D77:P77" si="22">-D43</f>
        <v>0</v>
      </c>
      <c r="E77" s="203">
        <f t="shared" si="22"/>
        <v>0</v>
      </c>
      <c r="F77" s="203">
        <f t="shared" si="22"/>
        <v>30000</v>
      </c>
      <c r="G77" s="203">
        <f t="shared" si="22"/>
        <v>45000</v>
      </c>
      <c r="H77" s="203">
        <f t="shared" si="22"/>
        <v>0</v>
      </c>
      <c r="I77" s="203">
        <f t="shared" si="22"/>
        <v>0</v>
      </c>
      <c r="J77" s="203">
        <f t="shared" si="22"/>
        <v>0</v>
      </c>
      <c r="K77" s="203">
        <f t="shared" si="22"/>
        <v>0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11163919</v>
      </c>
      <c r="D78" s="15">
        <f t="shared" ref="D78:P78" si="23">+D98+D105</f>
        <v>9787488</v>
      </c>
      <c r="E78" s="15">
        <f t="shared" si="23"/>
        <v>0</v>
      </c>
      <c r="F78" s="15">
        <f t="shared" si="23"/>
        <v>210000</v>
      </c>
      <c r="G78" s="15">
        <f t="shared" si="23"/>
        <v>300000</v>
      </c>
      <c r="H78" s="15">
        <f t="shared" si="23"/>
        <v>0</v>
      </c>
      <c r="I78" s="15">
        <f t="shared" si="23"/>
        <v>801431</v>
      </c>
      <c r="J78" s="15">
        <f t="shared" si="23"/>
        <v>0</v>
      </c>
      <c r="K78" s="15">
        <f t="shared" si="23"/>
        <v>0</v>
      </c>
      <c r="L78" s="15">
        <f t="shared" si="23"/>
        <v>0</v>
      </c>
      <c r="M78" s="15">
        <f t="shared" si="23"/>
        <v>65000</v>
      </c>
      <c r="N78" s="15">
        <f t="shared" si="23"/>
        <v>0</v>
      </c>
      <c r="O78" s="15">
        <f t="shared" si="23"/>
        <v>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-92000</v>
      </c>
      <c r="D79" s="115"/>
      <c r="E79" s="115"/>
      <c r="F79" s="115">
        <v>-42000</v>
      </c>
      <c r="G79" s="115">
        <v>-50000</v>
      </c>
      <c r="H79" s="115"/>
      <c r="I79" s="115"/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11146919</v>
      </c>
      <c r="D80" s="15">
        <f>+D77+D78+D79</f>
        <v>9787488</v>
      </c>
      <c r="E80" s="15">
        <f t="shared" ref="E80:P80" si="24">+E77+E78+E79</f>
        <v>0</v>
      </c>
      <c r="F80" s="15">
        <f t="shared" si="24"/>
        <v>198000</v>
      </c>
      <c r="G80" s="15">
        <f t="shared" si="24"/>
        <v>295000</v>
      </c>
      <c r="H80" s="15">
        <f t="shared" si="24"/>
        <v>0</v>
      </c>
      <c r="I80" s="15">
        <f t="shared" si="24"/>
        <v>801431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65000</v>
      </c>
      <c r="N80" s="15">
        <f t="shared" si="24"/>
        <v>0</v>
      </c>
      <c r="O80" s="15">
        <f t="shared" si="24"/>
        <v>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11146919</v>
      </c>
      <c r="D81" s="138">
        <f>+'PLAN RASHODA I IZDATAKA'!D91</f>
        <v>9787488</v>
      </c>
      <c r="E81" s="138">
        <f>+'PLAN RASHODA I IZDATAKA'!E91</f>
        <v>0</v>
      </c>
      <c r="F81" s="138">
        <f>+'PLAN RASHODA I IZDATAKA'!F91</f>
        <v>198000</v>
      </c>
      <c r="G81" s="138">
        <f>+'PLAN RASHODA I IZDATAKA'!G91</f>
        <v>295000</v>
      </c>
      <c r="H81" s="138">
        <f>+'PLAN RASHODA I IZDATAKA'!H91</f>
        <v>0</v>
      </c>
      <c r="I81" s="138">
        <f>+'PLAN RASHODA I IZDATAKA'!I91</f>
        <v>801431</v>
      </c>
      <c r="J81" s="138">
        <f>+'PLAN RASHODA I IZDATAKA'!J91</f>
        <v>0</v>
      </c>
      <c r="K81" s="138">
        <f>+'PLAN RASHODA I IZDATAKA'!K91</f>
        <v>0</v>
      </c>
      <c r="L81" s="138">
        <f>+'PLAN RASHODA I IZDATAKA'!L91</f>
        <v>0</v>
      </c>
      <c r="M81" s="138">
        <f>+'PLAN RASHODA I IZDATAKA'!M91</f>
        <v>65000</v>
      </c>
      <c r="N81" s="138">
        <f>+'PLAN RASHODA I IZDATAKA'!N91</f>
        <v>0</v>
      </c>
      <c r="O81" s="138">
        <f>+'PLAN RASHODA I IZDATAKA'!O91</f>
        <v>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0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0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0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0</v>
      </c>
      <c r="I84" s="204">
        <f>SUMIFS('Plan prihoda za unos u SAP'!$I$3:$I$501,'Plan prihoda za unos u SAP'!$C$3:$C$501,"=52",'Plan prihoda za unos u SAP'!$K$3:$K$501,"=632")</f>
        <v>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0</v>
      </c>
      <c r="L84" s="204">
        <f>SUMIFS('Plan prihoda za unos u SAP'!$I$3:$I$501,'Plan prihoda za unos u SAP'!$C$3:$C$501,"=563",'Plan prihoda za unos u SAP'!$K$3:$K$501,"=632")</f>
        <v>0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816</v>
      </c>
      <c r="B86" s="97" t="s">
        <v>817</v>
      </c>
      <c r="C86" s="71">
        <f t="shared" si="27"/>
        <v>0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0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0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0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801431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801431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819</v>
      </c>
      <c r="B91" s="97" t="s">
        <v>818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300000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300000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210000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210000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65000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65000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9787488</v>
      </c>
      <c r="D95" s="204">
        <f>SUMIFS('Plan prihoda za unos u SAP'!$I$3:$I$501,'Plan prihoda za unos u SAP'!$C$3:$C$501,"=11",'Plan prihoda za unos u SAP'!$K$3:$K$501,"=671")</f>
        <v>9787488</v>
      </c>
      <c r="E95" s="204">
        <f>SUMIFS('Plan prihoda za unos u SAP'!$I$3:$I$501,'Plan prihoda za unos u SAP'!$C$3:$C$501,"=12",'Plan prihoda za unos u SAP'!$K$3:$K$501,"=671")</f>
        <v>0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11163919</v>
      </c>
      <c r="D98" s="4">
        <f t="shared" ref="D98:P98" si="28">SUM(D83:D97)</f>
        <v>9787488</v>
      </c>
      <c r="E98" s="4">
        <f t="shared" si="28"/>
        <v>0</v>
      </c>
      <c r="F98" s="4">
        <f t="shared" si="28"/>
        <v>210000</v>
      </c>
      <c r="G98" s="4">
        <f t="shared" si="28"/>
        <v>300000</v>
      </c>
      <c r="H98" s="4">
        <f t="shared" si="28"/>
        <v>0</v>
      </c>
      <c r="I98" s="4">
        <f t="shared" si="28"/>
        <v>801431</v>
      </c>
      <c r="J98" s="4">
        <f t="shared" si="28"/>
        <v>0</v>
      </c>
      <c r="K98" s="4">
        <f t="shared" si="28"/>
        <v>0</v>
      </c>
      <c r="L98" s="4">
        <f t="shared" si="28"/>
        <v>0</v>
      </c>
      <c r="M98" s="4">
        <f t="shared" si="28"/>
        <v>65000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69" t="s">
        <v>339</v>
      </c>
      <c r="B109" s="269"/>
      <c r="C109" s="72">
        <f>SUM(D109:P109)</f>
        <v>11163919</v>
      </c>
      <c r="D109" s="72">
        <f t="shared" ref="D109:P109" si="31">+D108+D105+D98</f>
        <v>9787488</v>
      </c>
      <c r="E109" s="72">
        <f t="shared" si="31"/>
        <v>0</v>
      </c>
      <c r="F109" s="72">
        <f t="shared" si="31"/>
        <v>210000</v>
      </c>
      <c r="G109" s="72">
        <f t="shared" si="31"/>
        <v>300000</v>
      </c>
      <c r="H109" s="72">
        <f t="shared" si="31"/>
        <v>0</v>
      </c>
      <c r="I109" s="72">
        <f t="shared" si="31"/>
        <v>801431</v>
      </c>
      <c r="J109" s="72">
        <f t="shared" si="31"/>
        <v>0</v>
      </c>
      <c r="K109" s="72">
        <f t="shared" si="31"/>
        <v>0</v>
      </c>
      <c r="L109" s="72">
        <f t="shared" si="31"/>
        <v>0</v>
      </c>
      <c r="M109" s="72">
        <f t="shared" si="31"/>
        <v>65000</v>
      </c>
      <c r="N109" s="72">
        <f t="shared" si="31"/>
        <v>0</v>
      </c>
      <c r="O109" s="72">
        <f t="shared" si="31"/>
        <v>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75:B75"/>
    <mergeCell ref="C75:P75"/>
    <mergeCell ref="A109:B109"/>
    <mergeCell ref="A39:B39"/>
    <mergeCell ref="C39:P39"/>
    <mergeCell ref="A1:P1"/>
    <mergeCell ref="A3:B3"/>
    <mergeCell ref="C3:P3"/>
    <mergeCell ref="A37:B37"/>
    <mergeCell ref="A73:B73"/>
  </mergeCells>
  <phoneticPr fontId="40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5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4"/>
  <sheetViews>
    <sheetView showGridLines="0" zoomScaleNormal="10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0" t="s">
        <v>841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256" s="75" customFormat="1" ht="71.45" customHeight="1">
      <c r="A2" s="94" t="s">
        <v>215</v>
      </c>
      <c r="B2" s="94" t="s">
        <v>216</v>
      </c>
      <c r="C2" s="2" t="s">
        <v>377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1664</v>
      </c>
      <c r="P2" s="94" t="s">
        <v>1662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382</v>
      </c>
      <c r="C3" s="122">
        <f>SUM(D3:P3)</f>
        <v>11104203</v>
      </c>
      <c r="D3" s="123">
        <f t="shared" ref="D3:P3" si="0">D4+D38+D58</f>
        <v>9557262</v>
      </c>
      <c r="E3" s="123">
        <f t="shared" si="0"/>
        <v>0</v>
      </c>
      <c r="F3" s="123">
        <f t="shared" si="0"/>
        <v>190000</v>
      </c>
      <c r="G3" s="123">
        <f t="shared" si="0"/>
        <v>272000</v>
      </c>
      <c r="H3" s="123">
        <f t="shared" si="0"/>
        <v>0</v>
      </c>
      <c r="I3" s="123">
        <f t="shared" si="0"/>
        <v>874941</v>
      </c>
      <c r="J3" s="123">
        <f t="shared" si="0"/>
        <v>0</v>
      </c>
      <c r="K3" s="123">
        <f t="shared" si="0"/>
        <v>0</v>
      </c>
      <c r="L3" s="123">
        <f t="shared" si="0"/>
        <v>0</v>
      </c>
      <c r="M3" s="123">
        <f t="shared" si="0"/>
        <v>210000</v>
      </c>
      <c r="N3" s="123">
        <f t="shared" si="0"/>
        <v>0</v>
      </c>
      <c r="O3" s="123">
        <f t="shared" si="0"/>
        <v>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11024203</v>
      </c>
      <c r="D4" s="127">
        <f>D5+D9+D15+D19+D23+D30+D33</f>
        <v>9557262</v>
      </c>
      <c r="E4" s="127">
        <f t="shared" ref="E4:P4" si="1">E5+E9+E15+E19+E23+E30+E33</f>
        <v>0</v>
      </c>
      <c r="F4" s="127">
        <f t="shared" si="1"/>
        <v>180000</v>
      </c>
      <c r="G4" s="127">
        <f t="shared" si="1"/>
        <v>272000</v>
      </c>
      <c r="H4" s="127">
        <f t="shared" si="1"/>
        <v>0</v>
      </c>
      <c r="I4" s="127">
        <f t="shared" si="1"/>
        <v>874941</v>
      </c>
      <c r="J4" s="127">
        <f t="shared" si="1"/>
        <v>0</v>
      </c>
      <c r="K4" s="127">
        <f t="shared" si="1"/>
        <v>0</v>
      </c>
      <c r="L4" s="127">
        <f t="shared" si="1"/>
        <v>0</v>
      </c>
      <c r="M4" s="127">
        <f t="shared" si="1"/>
        <v>140000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9525230</v>
      </c>
      <c r="D5" s="13">
        <f>SUM(D6:D8)</f>
        <v>9400380</v>
      </c>
      <c r="E5" s="13">
        <f t="shared" ref="E5:P5" si="3">SUM(E6:E8)</f>
        <v>0</v>
      </c>
      <c r="F5" s="13">
        <f t="shared" si="3"/>
        <v>124850</v>
      </c>
      <c r="G5" s="13">
        <f t="shared" si="3"/>
        <v>0</v>
      </c>
      <c r="H5" s="13">
        <f t="shared" si="3"/>
        <v>0</v>
      </c>
      <c r="I5" s="13">
        <f t="shared" si="3"/>
        <v>0</v>
      </c>
      <c r="J5" s="13">
        <f t="shared" si="3"/>
        <v>0</v>
      </c>
      <c r="K5" s="13">
        <f t="shared" si="3"/>
        <v>0</v>
      </c>
      <c r="L5" s="13">
        <f t="shared" si="3"/>
        <v>0</v>
      </c>
      <c r="M5" s="13">
        <f t="shared" si="3"/>
        <v>0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7951157</v>
      </c>
      <c r="D6" s="143">
        <f>SUMIFS('Plan rashoda za unos u SAP'!$I$3:$I$501,'Plan rashoda za unos u SAP'!$C$3:$C$501,"=11",'Plan rashoda za unos u SAP'!$M$3:$M$501,"=311")</f>
        <v>7861157</v>
      </c>
      <c r="E6" s="143">
        <f>SUMIFS('Plan rashoda za unos u SAP'!$I$3:$I$501,'Plan rashoda za unos u SAP'!$C$3:$C$501,"=12",'Plan rashoda za unos u SAP'!$M$3:$M$501,"=311")</f>
        <v>0</v>
      </c>
      <c r="F6" s="143">
        <f>SUMIFS('Plan rashoda za unos u SAP'!$I$3:$I$501,'Plan rashoda za unos u SAP'!$C$3:$C$501,"=31",'Plan rashoda za unos u SAP'!$M$3:$M$501,"=311")</f>
        <v>90000</v>
      </c>
      <c r="G6" s="143">
        <f>SUMIFS('Plan rashoda za unos u SAP'!$I$3:$I$501,'Plan rashoda za unos u SAP'!$C$3:$C$501,"=43",'Plan rashoda za unos u SAP'!$M$3:$M$501,"=311")</f>
        <v>0</v>
      </c>
      <c r="H6" s="143">
        <f>SUMIFS('Plan rashoda za unos u SAP'!$I$3:$I$501,'Plan rashoda za unos u SAP'!$C$3:$C$501,"=51",'Plan rashoda za unos u SAP'!$M$3:$M$501,"=311")</f>
        <v>0</v>
      </c>
      <c r="I6" s="143">
        <f>SUMIFS('Plan rashoda za unos u SAP'!$I$3:$I$501,'Plan rashoda za unos u SAP'!$C$3:$C$501,"=52",'Plan rashoda za unos u SAP'!$M$3:$M$501,"=311")</f>
        <v>0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0</v>
      </c>
      <c r="L6" s="143">
        <f>SUMIFS('Plan rashoda za unos u SAP'!$I$3:$I$501,'Plan rashoda za unos u SAP'!$C$3:$C$501,"=563",'Plan rashoda za unos u SAP'!$M$3:$M$501,"=311")</f>
        <v>0</v>
      </c>
      <c r="M6" s="143">
        <f>SUMIFS('Plan rashoda za unos u SAP'!$I$3:$I$501,'Plan rashoda za unos u SAP'!$C$3:$C$501,"=61",'Plan rashoda za unos u SAP'!$M$3:$M$501,"=311")</f>
        <v>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262132</v>
      </c>
      <c r="D7" s="143">
        <f>SUMIFS('Plan rashoda za unos u SAP'!$I$3:$I$501,'Plan rashoda za unos u SAP'!$C$3:$C$501,"=11",'Plan rashoda za unos u SAP'!$M$3:$M$501,"=312")</f>
        <v>242132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20000</v>
      </c>
      <c r="G7" s="143">
        <f>SUMIFS('Plan rashoda za unos u SAP'!$I$3:$I$501,'Plan rashoda za unos u SAP'!$C$3:$C$501,"=43",'Plan rashoda za unos u SAP'!$M$3:$M$501,"=312")</f>
        <v>0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1311941</v>
      </c>
      <c r="D8" s="143">
        <f>SUMIFS('Plan rashoda za unos u SAP'!$I$3:$I$501,'Plan rashoda za unos u SAP'!$C$3:$C$501,"=11",'Plan rashoda za unos u SAP'!$M$3:$M$501,"=313")</f>
        <v>1297091</v>
      </c>
      <c r="E8" s="143">
        <f>SUMIFS('Plan rashoda za unos u SAP'!$I$3:$I$501,'Plan rashoda za unos u SAP'!$C$3:$C$501,"=12",'Plan rashoda za unos u SAP'!$M$3:$M$501,"=313")</f>
        <v>0</v>
      </c>
      <c r="F8" s="143">
        <f>SUMIFS('Plan rashoda za unos u SAP'!$I$3:$I$501,'Plan rashoda za unos u SAP'!$C$3:$C$501,"=31",'Plan rashoda za unos u SAP'!$M$3:$M$501,"=313")</f>
        <v>14850</v>
      </c>
      <c r="G8" s="143">
        <f>SUMIFS('Plan rashoda za unos u SAP'!$I$3:$I$501,'Plan rashoda za unos u SAP'!$C$3:$C$501,"=43",'Plan rashoda za unos u SAP'!$M$3:$M$501,"=313")</f>
        <v>0</v>
      </c>
      <c r="H8" s="143">
        <f>SUMIFS('Plan rashoda za unos u SAP'!$I$3:$I$501,'Plan rashoda za unos u SAP'!$C$3:$C$501,"=51",'Plan rashoda za unos u SAP'!$M$3:$M$501,"=313")</f>
        <v>0</v>
      </c>
      <c r="I8" s="143">
        <f>SUMIFS('Plan rashoda za unos u SAP'!$I$3:$I$501,'Plan rashoda za unos u SAP'!$C$3:$C$501,"=52",'Plan rashoda za unos u SAP'!$M$3:$M$501,"=313")</f>
        <v>0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0</v>
      </c>
      <c r="L8" s="143">
        <f>SUMIFS('Plan rashoda za unos u SAP'!$I$3:$I$501,'Plan rashoda za unos u SAP'!$C$3:$C$501,"=563",'Plan rashoda za unos u SAP'!$M$3:$M$501,"=313")</f>
        <v>0</v>
      </c>
      <c r="M8" s="143">
        <f>SUMIFS('Plan rashoda za unos u SAP'!$I$3:$I$501,'Plan rashoda za unos u SAP'!$C$3:$C$501,"=61",'Plan rashoda za unos u SAP'!$M$3:$M$501,"=313")</f>
        <v>0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1489473</v>
      </c>
      <c r="D9" s="79">
        <f t="shared" ref="D9:P9" si="4">SUM(D10:D14)</f>
        <v>156882</v>
      </c>
      <c r="E9" s="79">
        <f t="shared" si="4"/>
        <v>0</v>
      </c>
      <c r="F9" s="79">
        <f t="shared" si="4"/>
        <v>55150</v>
      </c>
      <c r="G9" s="79">
        <f t="shared" si="4"/>
        <v>272000</v>
      </c>
      <c r="H9" s="79">
        <f t="shared" si="4"/>
        <v>0</v>
      </c>
      <c r="I9" s="79">
        <f t="shared" si="4"/>
        <v>865441</v>
      </c>
      <c r="J9" s="79">
        <f t="shared" si="4"/>
        <v>0</v>
      </c>
      <c r="K9" s="79">
        <f t="shared" si="4"/>
        <v>0</v>
      </c>
      <c r="L9" s="79">
        <f t="shared" si="4"/>
        <v>0</v>
      </c>
      <c r="M9" s="79">
        <f t="shared" si="4"/>
        <v>140000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206926</v>
      </c>
      <c r="D10" s="143">
        <f>SUMIFS('Plan rashoda za unos u SAP'!$I$3:$I$501,'Plan rashoda za unos u SAP'!$C$3:$C$501,"=11",'Plan rashoda za unos u SAP'!$M$3:$M$501,"=321")</f>
        <v>114382</v>
      </c>
      <c r="E10" s="143">
        <f>SUMIFS('Plan rashoda za unos u SAP'!$I$3:$I$501,'Plan rashoda za unos u SAP'!$C$3:$C$501,"=12",'Plan rashoda za unos u SAP'!$M$3:$M$501,"=321")</f>
        <v>0</v>
      </c>
      <c r="F10" s="143">
        <f>SUMIFS('Plan rashoda za unos u SAP'!$I$3:$I$501,'Plan rashoda za unos u SAP'!$C$3:$C$501,"=31",'Plan rashoda za unos u SAP'!$M$3:$M$501,"=321")</f>
        <v>0</v>
      </c>
      <c r="G10" s="143">
        <f>SUMIFS('Plan rashoda za unos u SAP'!$I$3:$I$501,'Plan rashoda za unos u SAP'!$C$3:$C$501,"=43",'Plan rashoda za unos u SAP'!$M$3:$M$501,"=321")</f>
        <v>0</v>
      </c>
      <c r="H10" s="143">
        <f>SUMIFS('Plan rashoda za unos u SAP'!$I$3:$I$501,'Plan rashoda za unos u SAP'!$C$3:$C$501,"=51",'Plan rashoda za unos u SAP'!$M$3:$M$501,"=321")</f>
        <v>0</v>
      </c>
      <c r="I10" s="143">
        <f>SUMIFS('Plan rashoda za unos u SAP'!$I$3:$I$501,'Plan rashoda za unos u SAP'!$C$3:$C$501,"=52",'Plan rashoda za unos u SAP'!$M$3:$M$501,"=321")</f>
        <v>92544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0</v>
      </c>
      <c r="L10" s="143">
        <f>SUMIFS('Plan rashoda za unos u SAP'!$I$3:$I$501,'Plan rashoda za unos u SAP'!$C$3:$C$501,"=563",'Plan rashoda za unos u SAP'!$M$3:$M$501,"=321")</f>
        <v>0</v>
      </c>
      <c r="M10" s="143">
        <f>SUMIFS('Plan rashoda za unos u SAP'!$I$3:$I$501,'Plan rashoda za unos u SAP'!$C$3:$C$501,"=61",'Plan rashoda za unos u SAP'!$M$3:$M$501,"=321")</f>
        <v>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210507</v>
      </c>
      <c r="D11" s="143">
        <f>SUMIFS('Plan rashoda za unos u SAP'!$I$3:$I$501,'Plan rashoda za unos u SAP'!$C$3:$C$501,"=11",'Plan rashoda za unos u SAP'!$M$3:$M$501,"=322")</f>
        <v>0</v>
      </c>
      <c r="E11" s="143">
        <f>SUMIFS('Plan rashoda za unos u SAP'!$I$3:$I$501,'Plan rashoda za unos u SAP'!$C$3:$C$501,"=12",'Plan rashoda za unos u SAP'!$M$3:$M$501,"=322")</f>
        <v>0</v>
      </c>
      <c r="F11" s="143">
        <f>SUMIFS('Plan rashoda za unos u SAP'!$I$3:$I$501,'Plan rashoda za unos u SAP'!$C$3:$C$501,"=31",'Plan rashoda za unos u SAP'!$M$3:$M$501,"=322")</f>
        <v>0</v>
      </c>
      <c r="G11" s="143">
        <f>SUMIFS('Plan rashoda za unos u SAP'!$I$3:$I$501,'Plan rashoda za unos u SAP'!$C$3:$C$501,"=43",'Plan rashoda za unos u SAP'!$M$3:$M$501,"=322")</f>
        <v>35000</v>
      </c>
      <c r="H11" s="143">
        <f>SUMIFS('Plan rashoda za unos u SAP'!$I$3:$I$501,'Plan rashoda za unos u SAP'!$C$3:$C$501,"=51",'Plan rashoda za unos u SAP'!$M$3:$M$501,"=322")</f>
        <v>0</v>
      </c>
      <c r="I11" s="143">
        <f>SUMIFS('Plan rashoda za unos u SAP'!$I$3:$I$501,'Plan rashoda za unos u SAP'!$C$3:$C$501,"=52",'Plan rashoda za unos u SAP'!$M$3:$M$501,"=322")</f>
        <v>175507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0</v>
      </c>
      <c r="L11" s="143">
        <f>SUMIFS('Plan rashoda za unos u SAP'!$I$3:$I$501,'Plan rashoda za unos u SAP'!$C$3:$C$501,"=563",'Plan rashoda za unos u SAP'!$M$3:$M$501,"=322")</f>
        <v>0</v>
      </c>
      <c r="M11" s="143">
        <f>SUMIFS('Plan rashoda za unos u SAP'!$I$3:$I$501,'Plan rashoda za unos u SAP'!$C$3:$C$501,"=61",'Plan rashoda za unos u SAP'!$M$3:$M$501,"=322")</f>
        <v>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865140</v>
      </c>
      <c r="D12" s="143">
        <f>SUMIFS('Plan rashoda za unos u SAP'!$I$3:$I$501,'Plan rashoda za unos u SAP'!$C$3:$C$501,"=11",'Plan rashoda za unos u SAP'!$M$3:$M$501,"=323")</f>
        <v>15500</v>
      </c>
      <c r="E12" s="143">
        <f>SUMIFS('Plan rashoda za unos u SAP'!$I$3:$I$501,'Plan rashoda za unos u SAP'!$C$3:$C$501,"=12",'Plan rashoda za unos u SAP'!$M$3:$M$501,"=323")</f>
        <v>0</v>
      </c>
      <c r="F12" s="143">
        <f>SUMIFS('Plan rashoda za unos u SAP'!$I$3:$I$501,'Plan rashoda za unos u SAP'!$C$3:$C$501,"=31",'Plan rashoda za unos u SAP'!$M$3:$M$501,"=323")</f>
        <v>44750</v>
      </c>
      <c r="G12" s="143">
        <f>SUMIFS('Plan rashoda za unos u SAP'!$I$3:$I$501,'Plan rashoda za unos u SAP'!$C$3:$C$501,"=43",'Plan rashoda za unos u SAP'!$M$3:$M$501,"=323")</f>
        <v>87500</v>
      </c>
      <c r="H12" s="143">
        <f>SUMIFS('Plan rashoda za unos u SAP'!$I$3:$I$501,'Plan rashoda za unos u SAP'!$C$3:$C$501,"=51",'Plan rashoda za unos u SAP'!$M$3:$M$501,"=323")</f>
        <v>0</v>
      </c>
      <c r="I12" s="143">
        <f>SUMIFS('Plan rashoda za unos u SAP'!$I$3:$I$501,'Plan rashoda za unos u SAP'!$C$3:$C$501,"=52",'Plan rashoda za unos u SAP'!$M$3:$M$501,"=323")</f>
        <v>577390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0</v>
      </c>
      <c r="L12" s="143">
        <f>SUMIFS('Plan rashoda za unos u SAP'!$I$3:$I$501,'Plan rashoda za unos u SAP'!$C$3:$C$501,"=563",'Plan rashoda za unos u SAP'!$M$3:$M$501,"=323")</f>
        <v>0</v>
      </c>
      <c r="M12" s="143">
        <f>SUMIFS('Plan rashoda za unos u SAP'!$I$3:$I$501,'Plan rashoda za unos u SAP'!$C$3:$C$501,"=61",'Plan rashoda za unos u SAP'!$M$3:$M$501,"=323")</f>
        <v>140000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20000</v>
      </c>
      <c r="D13" s="143">
        <f>SUMIFS('Plan rashoda za unos u SAP'!$I$3:$I$501,'Plan rashoda za unos u SAP'!$C$3:$C$501,"=11",'Plan rashoda za unos u SAP'!$M$3:$M$501,"=324")</f>
        <v>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0</v>
      </c>
      <c r="G13" s="143">
        <f>SUMIFS('Plan rashoda za unos u SAP'!$I$3:$I$501,'Plan rashoda za unos u SAP'!$C$3:$C$501,"=43",'Plan rashoda za unos u SAP'!$M$3:$M$501,"=324")</f>
        <v>20000</v>
      </c>
      <c r="H13" s="143">
        <f>SUMIFS('Plan rashoda za unos u SAP'!$I$3:$I$501,'Plan rashoda za unos u SAP'!$C$3:$C$501,"=51",'Plan rashoda za unos u SAP'!$M$3:$M$501,"=324")</f>
        <v>0</v>
      </c>
      <c r="I13" s="143">
        <f>SUMIFS('Plan rashoda za unos u SAP'!$I$3:$I$501,'Plan rashoda za unos u SAP'!$C$3:$C$501,"=52",'Plan rashoda za unos u SAP'!$M$3:$M$501,"=324")</f>
        <v>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186900</v>
      </c>
      <c r="D14" s="143">
        <f>SUMIFS('Plan rashoda za unos u SAP'!$I$3:$I$501,'Plan rashoda za unos u SAP'!$C$3:$C$501,"=11",'Plan rashoda za unos u SAP'!$M$3:$M$501,"=329")</f>
        <v>27000</v>
      </c>
      <c r="E14" s="143">
        <f>SUMIFS('Plan rashoda za unos u SAP'!$I$3:$I$501,'Plan rashoda za unos u SAP'!$C$3:$C$501,"=12",'Plan rashoda za unos u SAP'!$M$3:$M$501,"=329")</f>
        <v>0</v>
      </c>
      <c r="F14" s="143">
        <f>SUMIFS('Plan rashoda za unos u SAP'!$I$3:$I$501,'Plan rashoda za unos u SAP'!$C$3:$C$501,"=31",'Plan rashoda za unos u SAP'!$M$3:$M$501,"=329")</f>
        <v>10400</v>
      </c>
      <c r="G14" s="143">
        <f>SUMIFS('Plan rashoda za unos u SAP'!$I$3:$I$501,'Plan rashoda za unos u SAP'!$C$3:$C$501,"=43",'Plan rashoda za unos u SAP'!$M$3:$M$501,"=329")</f>
        <v>129500</v>
      </c>
      <c r="H14" s="143">
        <f>SUMIFS('Plan rashoda za unos u SAP'!$I$3:$I$501,'Plan rashoda za unos u SAP'!$C$3:$C$501,"=51",'Plan rashoda za unos u SAP'!$M$3:$M$501,"=329")</f>
        <v>0</v>
      </c>
      <c r="I14" s="143">
        <f>SUMIFS('Plan rashoda za unos u SAP'!$I$3:$I$501,'Plan rashoda za unos u SAP'!$C$3:$C$501,"=52",'Plan rashoda za unos u SAP'!$M$3:$M$501,"=329")</f>
        <v>20000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0</v>
      </c>
      <c r="L14" s="143">
        <f>SUMIFS('Plan rashoda za unos u SAP'!$I$3:$I$501,'Plan rashoda za unos u SAP'!$C$3:$C$501,"=563",'Plan rashoda za unos u SAP'!$M$3:$M$501,"=329")</f>
        <v>0</v>
      </c>
      <c r="M14" s="143">
        <f>SUMIFS('Plan rashoda za unos u SAP'!$I$3:$I$501,'Plan rashoda za unos u SAP'!$C$3:$C$501,"=61",'Plan rashoda za unos u SAP'!$M$3:$M$501,"=329")</f>
        <v>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9500</v>
      </c>
      <c r="D15" s="4">
        <f t="shared" ref="D15:P15" si="5">SUM(D16:D18)</f>
        <v>0</v>
      </c>
      <c r="E15" s="4">
        <f t="shared" si="5"/>
        <v>0</v>
      </c>
      <c r="F15" s="4">
        <f t="shared" si="5"/>
        <v>0</v>
      </c>
      <c r="G15" s="4">
        <f t="shared" si="5"/>
        <v>0</v>
      </c>
      <c r="H15" s="4">
        <f t="shared" si="5"/>
        <v>0</v>
      </c>
      <c r="I15" s="4">
        <f t="shared" si="5"/>
        <v>9500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9500</v>
      </c>
      <c r="D18" s="143">
        <f>SUMIFS('Plan rashoda za unos u SAP'!$I$3:$I$501,'Plan rashoda za unos u SAP'!$C$3:$C$501,"=11",'Plan rashoda za unos u SAP'!$M$3:$M$501,"=343")</f>
        <v>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0</v>
      </c>
      <c r="G18" s="143">
        <f>SUMIFS('Plan rashoda za unos u SAP'!$I$3:$I$501,'Plan rashoda za unos u SAP'!$C$3:$C$501,"=43",'Plan rashoda za unos u SAP'!$M$3:$M$501,"=343")</f>
        <v>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9500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0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0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0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0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0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0</v>
      </c>
      <c r="D30" s="4">
        <f t="shared" ref="D30:P30" si="8">SUM(D31:D32)</f>
        <v>0</v>
      </c>
      <c r="E30" s="4">
        <f t="shared" si="8"/>
        <v>0</v>
      </c>
      <c r="F30" s="4">
        <f t="shared" si="8"/>
        <v>0</v>
      </c>
      <c r="G30" s="4">
        <f t="shared" si="8"/>
        <v>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0</v>
      </c>
      <c r="D32" s="143">
        <f>SUMIFS('Plan rashoda za unos u SAP'!$I$3:$I$501,'Plan rashoda za unos u SAP'!$C$3:$C$501,"=11",'Plan rashoda za unos u SAP'!$M$3:$M$501,"=372")</f>
        <v>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0</v>
      </c>
      <c r="G32" s="143">
        <f>SUMIFS('Plan rashoda za unos u SAP'!$I$3:$I$501,'Plan rashoda za unos u SAP'!$C$3:$C$501,"=43",'Plan rashoda za unos u SAP'!$M$3:$M$501,"=372")</f>
        <v>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0</v>
      </c>
      <c r="D33" s="4">
        <f t="shared" ref="D33:P33" si="9">SUM(D34:D37)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80000</v>
      </c>
      <c r="D38" s="128">
        <f>D42+D49+D51+D53+D39</f>
        <v>0</v>
      </c>
      <c r="E38" s="128">
        <f t="shared" ref="E38:P38" si="10">E42+E49+E51+E53+E39</f>
        <v>0</v>
      </c>
      <c r="F38" s="128">
        <f t="shared" si="10"/>
        <v>10000</v>
      </c>
      <c r="G38" s="128">
        <f t="shared" si="10"/>
        <v>0</v>
      </c>
      <c r="H38" s="128">
        <f t="shared" si="10"/>
        <v>0</v>
      </c>
      <c r="I38" s="128">
        <f t="shared" si="10"/>
        <v>0</v>
      </c>
      <c r="J38" s="128">
        <f t="shared" si="10"/>
        <v>0</v>
      </c>
      <c r="K38" s="128">
        <f t="shared" si="10"/>
        <v>0</v>
      </c>
      <c r="L38" s="128">
        <f t="shared" si="10"/>
        <v>0</v>
      </c>
      <c r="M38" s="128">
        <f t="shared" si="10"/>
        <v>70000</v>
      </c>
      <c r="N38" s="128">
        <f t="shared" si="10"/>
        <v>0</v>
      </c>
      <c r="O38" s="128">
        <f t="shared" si="10"/>
        <v>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80000</v>
      </c>
      <c r="D42" s="4">
        <f t="shared" ref="D42:P42" si="12">SUM(D43:D48)</f>
        <v>0</v>
      </c>
      <c r="E42" s="4">
        <f t="shared" si="12"/>
        <v>0</v>
      </c>
      <c r="F42" s="4">
        <f t="shared" si="12"/>
        <v>10000</v>
      </c>
      <c r="G42" s="4">
        <f t="shared" si="12"/>
        <v>0</v>
      </c>
      <c r="H42" s="4">
        <f t="shared" si="12"/>
        <v>0</v>
      </c>
      <c r="I42" s="4">
        <f t="shared" si="12"/>
        <v>0</v>
      </c>
      <c r="J42" s="4">
        <f t="shared" si="12"/>
        <v>0</v>
      </c>
      <c r="K42" s="4">
        <f t="shared" si="12"/>
        <v>0</v>
      </c>
      <c r="L42" s="4">
        <f t="shared" si="12"/>
        <v>0</v>
      </c>
      <c r="M42" s="4">
        <f t="shared" si="12"/>
        <v>70000</v>
      </c>
      <c r="N42" s="4">
        <f t="shared" si="12"/>
        <v>0</v>
      </c>
      <c r="O42" s="4">
        <f t="shared" si="12"/>
        <v>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80000</v>
      </c>
      <c r="D44" s="143">
        <f>SUMIFS('Plan rashoda za unos u SAP'!$I$3:$I$501,'Plan rashoda za unos u SAP'!$C$3:$C$501,"=11",'Plan rashoda za unos u SAP'!$M$3:$M$501,"=422")</f>
        <v>0</v>
      </c>
      <c r="E44" s="143">
        <f>SUMIFS('Plan rashoda za unos u SAP'!$I$3:$I$501,'Plan rashoda za unos u SAP'!$C$3:$C$501,"=12",'Plan rashoda za unos u SAP'!$M$3:$M$501,"=422")</f>
        <v>0</v>
      </c>
      <c r="F44" s="143">
        <f>SUMIFS('Plan rashoda za unos u SAP'!$I$3:$I$501,'Plan rashoda za unos u SAP'!$C$3:$C$501,"=31",'Plan rashoda za unos u SAP'!$M$3:$M$501,"=422")</f>
        <v>10000</v>
      </c>
      <c r="G44" s="143">
        <f>SUMIFS('Plan rashoda za unos u SAP'!$I$3:$I$501,'Plan rashoda za unos u SAP'!$C$3:$C$501,"=43",'Plan rashoda za unos u SAP'!$M$3:$M$501,"=422")</f>
        <v>0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0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70000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0</v>
      </c>
      <c r="D46" s="143">
        <f>SUMIFS('Plan rashoda za unos u SAP'!$I$3:$I$501,'Plan rashoda za unos u SAP'!$C$3:$C$501,"=11",'Plan rashoda za unos u SAP'!$M$3:$M$501,"=424")</f>
        <v>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0</v>
      </c>
      <c r="G46" s="143">
        <f>SUMIFS('Plan rashoda za unos u SAP'!$I$3:$I$501,'Plan rashoda za unos u SAP'!$C$3:$C$501,"=43",'Plan rashoda za unos u SAP'!$M$3:$M$501,"=424")</f>
        <v>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0</v>
      </c>
      <c r="D48" s="143">
        <f>SUMIFS('Plan rashoda za unos u SAP'!$I$3:$I$501,'Plan rashoda za unos u SAP'!$C$3:$C$501,"=11",'Plan rashoda za unos u SAP'!$M$3:$M$501,"=426")</f>
        <v>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0</v>
      </c>
      <c r="G48" s="143">
        <f>SUMIFS('Plan rashoda za unos u SAP'!$I$3:$I$501,'Plan rashoda za unos u SAP'!$C$3:$C$501,"=43",'Plan rashoda za unos u SAP'!$M$3:$M$501,"=426")</f>
        <v>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0</v>
      </c>
      <c r="D54" s="143">
        <f>SUMIFS('Plan rashoda za unos u SAP'!$I$3:$I$501,'Plan rashoda za unos u SAP'!$C$3:$C$501,"=11",'Plan rashoda za unos u SAP'!$M$3:$M$501,"=451")</f>
        <v>0</v>
      </c>
      <c r="E54" s="143">
        <f>SUMIFS('Plan rashoda za unos u SAP'!$I$3:$I$501,'Plan rashoda za unos u SAP'!$C$3:$C$501,"=12",'Plan rashoda za unos u SAP'!$M$3:$M$501,"=451")</f>
        <v>0</v>
      </c>
      <c r="F54" s="143">
        <f>SUMIFS('Plan rashoda za unos u SAP'!$I$3:$I$501,'Plan rashoda za unos u SAP'!$C$3:$C$501,"=31",'Plan rashoda za unos u SAP'!$M$3:$M$501,"=451")</f>
        <v>0</v>
      </c>
      <c r="G54" s="143">
        <f>SUMIFS('Plan rashoda za unos u SAP'!$I$3:$I$501,'Plan rashoda za unos u SAP'!$C$3:$C$501,"=43",'Plan rashoda za unos u SAP'!$M$3:$M$501,"=451")</f>
        <v>0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0</v>
      </c>
      <c r="M54" s="143">
        <f>SUMIFS('Plan rashoda za unos u SAP'!$I$3:$I$501,'Plan rashoda za unos u SAP'!$C$3:$C$501,"=61",'Plan rashoda za unos u SAP'!$M$3:$M$501,"=451")</f>
        <v>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380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386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387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388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381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389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390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391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392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393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378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1662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382</v>
      </c>
      <c r="C71" s="122">
        <f>SUM(D71:P71)</f>
        <v>10946364</v>
      </c>
      <c r="D71" s="123">
        <f t="shared" ref="D71:P71" si="21">+D72+D80+D86</f>
        <v>9640200</v>
      </c>
      <c r="E71" s="123">
        <f t="shared" si="21"/>
        <v>0</v>
      </c>
      <c r="F71" s="123">
        <f t="shared" si="21"/>
        <v>180000</v>
      </c>
      <c r="G71" s="123">
        <f t="shared" si="21"/>
        <v>285000</v>
      </c>
      <c r="H71" s="123">
        <f t="shared" si="21"/>
        <v>0</v>
      </c>
      <c r="I71" s="123">
        <f t="shared" si="21"/>
        <v>781164</v>
      </c>
      <c r="J71" s="123">
        <f t="shared" si="21"/>
        <v>0</v>
      </c>
      <c r="K71" s="123">
        <f t="shared" si="21"/>
        <v>0</v>
      </c>
      <c r="L71" s="123">
        <f t="shared" si="21"/>
        <v>0</v>
      </c>
      <c r="M71" s="123">
        <f t="shared" si="21"/>
        <v>60000</v>
      </c>
      <c r="N71" s="123">
        <f t="shared" si="21"/>
        <v>0</v>
      </c>
      <c r="O71" s="123">
        <f t="shared" si="21"/>
        <v>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10934364</v>
      </c>
      <c r="D72" s="132">
        <f t="shared" ref="D72:P72" si="22">SUM(D73:D79)</f>
        <v>9640200</v>
      </c>
      <c r="E72" s="132">
        <f t="shared" si="22"/>
        <v>0</v>
      </c>
      <c r="F72" s="132">
        <f t="shared" si="22"/>
        <v>168000</v>
      </c>
      <c r="G72" s="132">
        <f t="shared" si="22"/>
        <v>285000</v>
      </c>
      <c r="H72" s="132">
        <f t="shared" si="22"/>
        <v>0</v>
      </c>
      <c r="I72" s="132">
        <f t="shared" si="22"/>
        <v>781164</v>
      </c>
      <c r="J72" s="132">
        <f t="shared" si="22"/>
        <v>0</v>
      </c>
      <c r="K72" s="132">
        <f t="shared" si="22"/>
        <v>0</v>
      </c>
      <c r="L72" s="132">
        <f t="shared" si="22"/>
        <v>0</v>
      </c>
      <c r="M72" s="132">
        <f t="shared" si="22"/>
        <v>60000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9582740</v>
      </c>
      <c r="D73" s="143">
        <f>SUMIFS('Plan rashoda za unos u SAP'!$J$3:$J$501,'Plan rashoda za unos u SAP'!$C$3:$C$501,"=11",'Plan rashoda za unos u SAP'!$N$3:$N$501,"=31")</f>
        <v>9474200</v>
      </c>
      <c r="E73" s="143">
        <f>SUMIFS('Plan rashoda za unos u SAP'!$J$3:$J$501,'Plan rashoda za unos u SAP'!$C$3:$C$501,"=12",'Plan rashoda za unos u SAP'!$N$3:$N$501,"=31")</f>
        <v>0</v>
      </c>
      <c r="F73" s="143">
        <f>SUMIFS('Plan rashoda za unos u SAP'!$J$3:$J$501,'Plan rashoda za unos u SAP'!$C$3:$C$501,"=31",'Plan rashoda za unos u SAP'!$N$3:$N$501,"=31")</f>
        <v>108540</v>
      </c>
      <c r="G73" s="143">
        <f>SUMIFS('Plan rashoda za unos u SAP'!$J$3:$J$501,'Plan rashoda za unos u SAP'!$C$3:$C$501,"=43",'Plan rashoda za unos u SAP'!$N$3:$N$501,"=31")</f>
        <v>0</v>
      </c>
      <c r="H73" s="143">
        <f>SUMIFS('Plan rashoda za unos u SAP'!$J$3:$J$501,'Plan rashoda za unos u SAP'!$C$3:$C$501,"=51",'Plan rashoda za unos u SAP'!$N$3:$N$501,"=31")</f>
        <v>0</v>
      </c>
      <c r="I73" s="143">
        <f>SUMIFS('Plan rashoda za unos u SAP'!$J$3:$J$501,'Plan rashoda za unos u SAP'!$C$3:$C$501,"=52",'Plan rashoda za unos u SAP'!$N$3:$N$501,"=31")</f>
        <v>0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0</v>
      </c>
      <c r="L73" s="143">
        <f>SUMIFS('Plan rashoda za unos u SAP'!$J$3:$J$501,'Plan rashoda za unos u SAP'!$C$3:$C$501,"=563",'Plan rashoda za unos u SAP'!$N$3:$N$501,"=31")</f>
        <v>0</v>
      </c>
      <c r="M73" s="143">
        <f>SUMIFS('Plan rashoda za unos u SAP'!$J$3:$J$501,'Plan rashoda za unos u SAP'!$C$3:$C$501,"=61",'Plan rashoda za unos u SAP'!$N$3:$N$501,"=31")</f>
        <v>0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1341624</v>
      </c>
      <c r="D74" s="143">
        <f>SUMIFS('Plan rashoda za unos u SAP'!$J$3:$J$501,'Plan rashoda za unos u SAP'!$C$3:$C$501,"=11",'Plan rashoda za unos u SAP'!$N$3:$N$501,"=32")</f>
        <v>166000</v>
      </c>
      <c r="E74" s="143">
        <f>SUMIFS('Plan rashoda za unos u SAP'!$J$3:$J$501,'Plan rashoda za unos u SAP'!$C$3:$C$501,"=12",'Plan rashoda za unos u SAP'!$N$3:$N$501,"=32")</f>
        <v>0</v>
      </c>
      <c r="F74" s="143">
        <f>SUMIFS('Plan rashoda za unos u SAP'!$J$3:$J$501,'Plan rashoda za unos u SAP'!$C$3:$C$501,"=31",'Plan rashoda za unos u SAP'!$N$3:$N$501,"=32")</f>
        <v>59460</v>
      </c>
      <c r="G74" s="143">
        <f>SUMIFS('Plan rashoda za unos u SAP'!$J$3:$J$501,'Plan rashoda za unos u SAP'!$C$3:$C$501,"=43",'Plan rashoda za unos u SAP'!$N$3:$N$501,"=32")</f>
        <v>285000</v>
      </c>
      <c r="H74" s="143">
        <f>SUMIFS('Plan rashoda za unos u SAP'!$J$3:$J$501,'Plan rashoda za unos u SAP'!$C$3:$C$501,"=51",'Plan rashoda za unos u SAP'!$N$3:$N$501,"=32")</f>
        <v>0</v>
      </c>
      <c r="I74" s="143">
        <f>SUMIFS('Plan rashoda za unos u SAP'!$J$3:$J$501,'Plan rashoda za unos u SAP'!$C$3:$C$501,"=52",'Plan rashoda za unos u SAP'!$N$3:$N$501,"=32")</f>
        <v>771164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0</v>
      </c>
      <c r="L74" s="143">
        <f>SUMIFS('Plan rashoda za unos u SAP'!$J$3:$J$501,'Plan rashoda za unos u SAP'!$C$3:$C$501,"=563",'Plan rashoda za unos u SAP'!$N$3:$N$501,"=32")</f>
        <v>0</v>
      </c>
      <c r="M74" s="143">
        <f>SUMIFS('Plan rashoda za unos u SAP'!$J$3:$J$501,'Plan rashoda za unos u SAP'!$C$3:$C$501,"=61",'Plan rashoda za unos u SAP'!$N$3:$N$501,"=32")</f>
        <v>60000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10000</v>
      </c>
      <c r="D75" s="143">
        <f>SUMIFS('Plan rashoda za unos u SAP'!$J$3:$J$501,'Plan rashoda za unos u SAP'!$C$3:$C$501,"=11",'Plan rashoda za unos u SAP'!$N$3:$N$501,"=34")</f>
        <v>0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0</v>
      </c>
      <c r="G75" s="143">
        <f>SUMIFS('Plan rashoda za unos u SAP'!$J$3:$J$501,'Plan rashoda za unos u SAP'!$C$3:$C$501,"=43",'Plan rashoda za unos u SAP'!$N$3:$N$501,"=34")</f>
        <v>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10000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0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0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0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0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0</v>
      </c>
      <c r="D78" s="143">
        <f>SUMIFS('Plan rashoda za unos u SAP'!$J$3:$J$501,'Plan rashoda za unos u SAP'!$C$3:$C$501,"=11",'Plan rashoda za unos u SAP'!$N$3:$N$501,"=37")</f>
        <v>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0</v>
      </c>
      <c r="G78" s="143">
        <f>SUMIFS('Plan rashoda za unos u SAP'!$J$3:$J$501,'Plan rashoda za unos u SAP'!$C$3:$C$501,"=43",'Plan rashoda za unos u SAP'!$N$3:$N$501,"=37")</f>
        <v>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12000</v>
      </c>
      <c r="D80" s="133">
        <f t="shared" ref="D80:P80" si="24">SUM(D81:D85)</f>
        <v>0</v>
      </c>
      <c r="E80" s="133">
        <f t="shared" si="24"/>
        <v>0</v>
      </c>
      <c r="F80" s="133">
        <f t="shared" si="24"/>
        <v>12000</v>
      </c>
      <c r="G80" s="133">
        <f t="shared" si="24"/>
        <v>0</v>
      </c>
      <c r="H80" s="133">
        <f t="shared" si="24"/>
        <v>0</v>
      </c>
      <c r="I80" s="133">
        <f t="shared" si="24"/>
        <v>0</v>
      </c>
      <c r="J80" s="133">
        <f t="shared" si="24"/>
        <v>0</v>
      </c>
      <c r="K80" s="133">
        <f t="shared" si="24"/>
        <v>0</v>
      </c>
      <c r="L80" s="133">
        <f t="shared" si="24"/>
        <v>0</v>
      </c>
      <c r="M80" s="133">
        <f t="shared" si="24"/>
        <v>0</v>
      </c>
      <c r="N80" s="133">
        <f t="shared" si="24"/>
        <v>0</v>
      </c>
      <c r="O80" s="133">
        <f t="shared" si="24"/>
        <v>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12000</v>
      </c>
      <c r="D82" s="143">
        <f>SUMIFS('Plan rashoda za unos u SAP'!$J$3:$J$501,'Plan rashoda za unos u SAP'!$C$3:$C$501,"=11",'Plan rashoda za unos u SAP'!$N$3:$N$501,"=42")</f>
        <v>0</v>
      </c>
      <c r="E82" s="143">
        <f>SUMIFS('Plan rashoda za unos u SAP'!$J$3:$J$501,'Plan rashoda za unos u SAP'!$C$3:$C$501,"=12",'Plan rashoda za unos u SAP'!$N$3:$N$501,"=42")</f>
        <v>0</v>
      </c>
      <c r="F82" s="143">
        <f>SUMIFS('Plan rashoda za unos u SAP'!$J$3:$J$501,'Plan rashoda za unos u SAP'!$C$3:$C$501,"=31",'Plan rashoda za unos u SAP'!$N$3:$N$501,"=42")</f>
        <v>12000</v>
      </c>
      <c r="G82" s="143">
        <f>SUMIFS('Plan rashoda za unos u SAP'!$J$3:$J$501,'Plan rashoda za unos u SAP'!$C$3:$C$501,"=43",'Plan rashoda za unos u SAP'!$N$3:$N$501,"=42")</f>
        <v>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0</v>
      </c>
      <c r="D85" s="143">
        <f>SUMIFS('Plan rashoda za unos u SAP'!$J$3:$J$501,'Plan rashoda za unos u SAP'!$C$3:$C$501,"=11",'Plan rashoda za unos u SAP'!$N$3:$N$501,"=45")</f>
        <v>0</v>
      </c>
      <c r="E85" s="143">
        <f>SUMIFS('Plan rashoda za unos u SAP'!$J$3:$J$501,'Plan rashoda za unos u SAP'!$C$3:$C$501,"=12",'Plan rashoda za unos u SAP'!$N$3:$N$501,"=45")</f>
        <v>0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0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380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381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379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11146919</v>
      </c>
      <c r="D91" s="123">
        <f t="shared" ref="D91:P91" si="27">D92+D100+D106</f>
        <v>9787488</v>
      </c>
      <c r="E91" s="123">
        <f t="shared" si="27"/>
        <v>0</v>
      </c>
      <c r="F91" s="123">
        <f t="shared" si="27"/>
        <v>198000</v>
      </c>
      <c r="G91" s="123">
        <f t="shared" si="27"/>
        <v>295000</v>
      </c>
      <c r="H91" s="123">
        <f t="shared" si="27"/>
        <v>0</v>
      </c>
      <c r="I91" s="123">
        <f t="shared" si="27"/>
        <v>801431</v>
      </c>
      <c r="J91" s="123">
        <f t="shared" si="27"/>
        <v>0</v>
      </c>
      <c r="K91" s="123">
        <f t="shared" si="27"/>
        <v>0</v>
      </c>
      <c r="L91" s="123">
        <f t="shared" si="27"/>
        <v>0</v>
      </c>
      <c r="M91" s="123">
        <f t="shared" si="27"/>
        <v>65000</v>
      </c>
      <c r="N91" s="123">
        <f t="shared" si="27"/>
        <v>0</v>
      </c>
      <c r="O91" s="123">
        <f t="shared" si="27"/>
        <v>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11131919</v>
      </c>
      <c r="D92" s="132">
        <f t="shared" ref="D92:P92" si="28">SUM(D93:D99)</f>
        <v>9787488</v>
      </c>
      <c r="E92" s="132">
        <f t="shared" si="28"/>
        <v>0</v>
      </c>
      <c r="F92" s="132">
        <f t="shared" si="28"/>
        <v>183000</v>
      </c>
      <c r="G92" s="132">
        <f t="shared" si="28"/>
        <v>295000</v>
      </c>
      <c r="H92" s="132">
        <f t="shared" si="28"/>
        <v>0</v>
      </c>
      <c r="I92" s="132">
        <f t="shared" si="28"/>
        <v>801431</v>
      </c>
      <c r="J92" s="132">
        <f t="shared" si="28"/>
        <v>0</v>
      </c>
      <c r="K92" s="132">
        <f t="shared" si="28"/>
        <v>0</v>
      </c>
      <c r="L92" s="132">
        <f t="shared" si="28"/>
        <v>0</v>
      </c>
      <c r="M92" s="132">
        <f t="shared" si="28"/>
        <v>65000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9744498</v>
      </c>
      <c r="D93" s="143">
        <f>SUMIFS('Plan rashoda za unos u SAP'!$K$3:$K$501,'Plan rashoda za unos u SAP'!$C$3:$C$501,"=11",'Plan rashoda za unos u SAP'!$N$3:$N$501,"=31")</f>
        <v>9614988</v>
      </c>
      <c r="E93" s="143">
        <f>SUMIFS('Plan rashoda za unos u SAP'!$K$3:$K$501,'Plan rashoda za unos u SAP'!$C$3:$C$501,"=12",'Plan rashoda za unos u SAP'!$N$3:$N$501,"=31")</f>
        <v>0</v>
      </c>
      <c r="F93" s="143">
        <f>SUMIFS('Plan rashoda za unos u SAP'!$K$3:$K$501,'Plan rashoda za unos u SAP'!$C$3:$C$501,"=31",'Plan rashoda za unos u SAP'!$N$3:$N$501,"=31")</f>
        <v>129510</v>
      </c>
      <c r="G93" s="143">
        <f>SUMIFS('Plan rashoda za unos u SAP'!$K$3:$K$501,'Plan rashoda za unos u SAP'!$C$3:$C$501,"=43",'Plan rashoda za unos u SAP'!$N$3:$N$501,"=31")</f>
        <v>0</v>
      </c>
      <c r="H93" s="143">
        <f>SUMIFS('Plan rashoda za unos u SAP'!$K$3:$K$501,'Plan rashoda za unos u SAP'!$C$3:$C$501,"=51",'Plan rashoda za unos u SAP'!$N$3:$N$501,"=31")</f>
        <v>0</v>
      </c>
      <c r="I93" s="143">
        <f>SUMIFS('Plan rashoda za unos u SAP'!$K$3:$K$501,'Plan rashoda za unos u SAP'!$C$3:$C$501,"=52",'Plan rashoda za unos u SAP'!$N$3:$N$501,"=31")</f>
        <v>0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0</v>
      </c>
      <c r="L93" s="143">
        <f>SUMIFS('Plan rashoda za unos u SAP'!$K$3:$K$501,'Plan rashoda za unos u SAP'!$C$3:$C$501,"=563",'Plan rashoda za unos u SAP'!$N$3:$N$501,"=31")</f>
        <v>0</v>
      </c>
      <c r="M93" s="143">
        <f>SUMIFS('Plan rashoda za unos u SAP'!$K$3:$K$501,'Plan rashoda za unos u SAP'!$C$3:$C$501,"=61",'Plan rashoda za unos u SAP'!$N$3:$N$501,"=31")</f>
        <v>0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1377221</v>
      </c>
      <c r="D94" s="143">
        <f>SUMIFS('Plan rashoda za unos u SAP'!$K$3:$K$501,'Plan rashoda za unos u SAP'!$C$3:$C$501,"=11",'Plan rashoda za unos u SAP'!$N$3:$N$501,"=32")</f>
        <v>172500</v>
      </c>
      <c r="E94" s="143">
        <f>SUMIFS('Plan rashoda za unos u SAP'!$K$3:$K$501,'Plan rashoda za unos u SAP'!$C$3:$C$501,"=12",'Plan rashoda za unos u SAP'!$N$3:$N$501,"=32")</f>
        <v>0</v>
      </c>
      <c r="F94" s="143">
        <f>SUMIFS('Plan rashoda za unos u SAP'!$K$3:$K$501,'Plan rashoda za unos u SAP'!$C$3:$C$501,"=31",'Plan rashoda za unos u SAP'!$N$3:$N$501,"=32")</f>
        <v>53490</v>
      </c>
      <c r="G94" s="143">
        <f>SUMIFS('Plan rashoda za unos u SAP'!$K$3:$K$501,'Plan rashoda za unos u SAP'!$C$3:$C$501,"=43",'Plan rashoda za unos u SAP'!$N$3:$N$501,"=32")</f>
        <v>295000</v>
      </c>
      <c r="H94" s="143">
        <f>SUMIFS('Plan rashoda za unos u SAP'!$K$3:$K$501,'Plan rashoda za unos u SAP'!$C$3:$C$501,"=51",'Plan rashoda za unos u SAP'!$N$3:$N$501,"=32")</f>
        <v>0</v>
      </c>
      <c r="I94" s="143">
        <f>SUMIFS('Plan rashoda za unos u SAP'!$K$3:$K$501,'Plan rashoda za unos u SAP'!$C$3:$C$501,"=52",'Plan rashoda za unos u SAP'!$N$3:$N$501,"=32")</f>
        <v>791231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0</v>
      </c>
      <c r="L94" s="143">
        <f>SUMIFS('Plan rashoda za unos u SAP'!$K$3:$K$501,'Plan rashoda za unos u SAP'!$C$3:$C$501,"=563",'Plan rashoda za unos u SAP'!$N$3:$N$501,"=32")</f>
        <v>0</v>
      </c>
      <c r="M94" s="143">
        <f>SUMIFS('Plan rashoda za unos u SAP'!$K$3:$K$501,'Plan rashoda za unos u SAP'!$C$3:$C$501,"=61",'Plan rashoda za unos u SAP'!$N$3:$N$501,"=32")</f>
        <v>65000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10200</v>
      </c>
      <c r="D95" s="143">
        <f>SUMIFS('Plan rashoda za unos u SAP'!$K$3:$K$501,'Plan rashoda za unos u SAP'!$C$3:$C$501,"=11",'Plan rashoda za unos u SAP'!$N$3:$N$501,"=34")</f>
        <v>0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0</v>
      </c>
      <c r="G95" s="143">
        <f>SUMIFS('Plan rashoda za unos u SAP'!$K$3:$K$501,'Plan rashoda za unos u SAP'!$C$3:$C$501,"=43",'Plan rashoda za unos u SAP'!$N$3:$N$501,"=34")</f>
        <v>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10200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0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0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0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0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0</v>
      </c>
      <c r="D98" s="143">
        <f>SUMIFS('Plan rashoda za unos u SAP'!$K$3:$K$501,'Plan rashoda za unos u SAP'!$C$3:$C$501,"=11",'Plan rashoda za unos u SAP'!$N$3:$N$501,"=37")</f>
        <v>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0</v>
      </c>
      <c r="G98" s="143">
        <f>SUMIFS('Plan rashoda za unos u SAP'!$K$3:$K$501,'Plan rashoda za unos u SAP'!$C$3:$C$501,"=43",'Plan rashoda za unos u SAP'!$N$3:$N$501,"=37")</f>
        <v>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15000</v>
      </c>
      <c r="D100" s="133">
        <f t="shared" ref="D100:P100" si="30">SUM(D101:D105)</f>
        <v>0</v>
      </c>
      <c r="E100" s="133">
        <f t="shared" si="30"/>
        <v>0</v>
      </c>
      <c r="F100" s="133">
        <f t="shared" si="30"/>
        <v>15000</v>
      </c>
      <c r="G100" s="133">
        <f t="shared" si="30"/>
        <v>0</v>
      </c>
      <c r="H100" s="133">
        <f t="shared" si="30"/>
        <v>0</v>
      </c>
      <c r="I100" s="133">
        <f t="shared" si="30"/>
        <v>0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0</v>
      </c>
      <c r="N100" s="133">
        <f t="shared" si="30"/>
        <v>0</v>
      </c>
      <c r="O100" s="133">
        <f t="shared" si="30"/>
        <v>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15000</v>
      </c>
      <c r="D102" s="143">
        <f>SUMIFS('Plan rashoda za unos u SAP'!$K$3:$K$501,'Plan rashoda za unos u SAP'!$C$3:$C$501,"=11",'Plan rashoda za unos u SAP'!$N$3:$N$501,"=42")</f>
        <v>0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15000</v>
      </c>
      <c r="G102" s="143">
        <f>SUMIFS('Plan rashoda za unos u SAP'!$K$3:$K$501,'Plan rashoda za unos u SAP'!$C$3:$C$501,"=43",'Plan rashoda za unos u SAP'!$N$3:$N$501,"=42")</f>
        <v>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0</v>
      </c>
      <c r="D105" s="143">
        <f>SUMIFS('Plan rashoda za unos u SAP'!$K$3:$K$501,'Plan rashoda za unos u SAP'!$C$3:$C$501,"=11",'Plan rashoda za unos u SAP'!$N$3:$N$501,"=45")</f>
        <v>0</v>
      </c>
      <c r="E105" s="143">
        <f>SUMIFS('Plan rashoda za unos u SAP'!$K$3:$K$501,'Plan rashoda za unos u SAP'!$C$3:$C$501,"=12",'Plan rashoda za unos u SAP'!$N$3:$N$501,"=45")</f>
        <v>0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0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380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381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F8" sqref="F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73" t="s">
        <v>240</v>
      </c>
      <c r="B10" s="275" t="s">
        <v>241</v>
      </c>
      <c r="C10" s="275" t="s">
        <v>242</v>
      </c>
      <c r="D10" s="278" t="s">
        <v>243</v>
      </c>
      <c r="E10" s="271" t="s">
        <v>853</v>
      </c>
      <c r="F10" s="271" t="s">
        <v>244</v>
      </c>
      <c r="G10" s="271" t="s">
        <v>245</v>
      </c>
      <c r="H10" s="271" t="s">
        <v>854</v>
      </c>
    </row>
    <row r="11" spans="1:8" ht="15.75" thickBot="1">
      <c r="A11" s="274"/>
      <c r="B11" s="276"/>
      <c r="C11" s="277"/>
      <c r="D11" s="279"/>
      <c r="E11" s="280"/>
      <c r="F11" s="272"/>
      <c r="G11" s="272"/>
      <c r="H11" s="272"/>
    </row>
    <row r="12" spans="1:8">
      <c r="A12" s="30"/>
      <c r="B12" s="31"/>
      <c r="C12" s="32"/>
      <c r="D12" s="21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C3" sqref="C3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1" t="s">
        <v>855</v>
      </c>
      <c r="B1" s="281"/>
      <c r="C1" s="205" t="str">
        <f>IF('Opći dio'!C3="odaberite -","Molimo odaberite proračunskog korisnika na radnom listu Opći podaci!","")</f>
        <v/>
      </c>
    </row>
    <row r="2" spans="1:28" ht="60">
      <c r="A2" s="227" t="s">
        <v>846</v>
      </c>
      <c r="B2" s="228" t="s">
        <v>58</v>
      </c>
      <c r="C2" s="227" t="s">
        <v>844</v>
      </c>
      <c r="D2" s="228" t="s">
        <v>845</v>
      </c>
      <c r="E2" s="227" t="s">
        <v>856</v>
      </c>
      <c r="F2" s="228" t="s">
        <v>60</v>
      </c>
      <c r="G2" s="229" t="s">
        <v>837</v>
      </c>
      <c r="H2" s="229" t="s">
        <v>838</v>
      </c>
      <c r="I2" s="229" t="s">
        <v>839</v>
      </c>
      <c r="J2" s="229" t="s">
        <v>857</v>
      </c>
      <c r="K2" s="229" t="s">
        <v>858</v>
      </c>
      <c r="L2" s="229" t="s">
        <v>859</v>
      </c>
      <c r="M2" s="229" t="s">
        <v>860</v>
      </c>
      <c r="N2" s="229" t="s">
        <v>861</v>
      </c>
      <c r="P2" s="147" t="s">
        <v>813</v>
      </c>
      <c r="Q2" s="147" t="s">
        <v>814</v>
      </c>
    </row>
    <row r="3" spans="1:28">
      <c r="A3" s="154">
        <v>52</v>
      </c>
      <c r="B3" s="149" t="str">
        <f>IFERROR(VLOOKUP(A3,$R$6:$S$16,2,FALSE),"")</f>
        <v>Ostale pomoći</v>
      </c>
      <c r="C3" s="154"/>
      <c r="D3" s="149" t="str">
        <f t="shared" ref="D3:D66" si="0">IFERROR(VLOOKUP(C3,$U$5:$W$129,2,FALSE),"")</f>
        <v/>
      </c>
      <c r="E3" s="201" t="s">
        <v>1201</v>
      </c>
      <c r="F3" s="149" t="str">
        <f>IFERROR(VLOOKUP(E3,$AA$6:$AB$200,2,FALSE),"")</f>
        <v>Internacionalizacija visokog obrazovanja - razvoj studijskih programa na stranim jezicima u prioritetnim područjima i združenih studija</v>
      </c>
      <c r="G3" s="198"/>
      <c r="H3" s="198"/>
      <c r="I3" s="198"/>
      <c r="J3" s="226"/>
      <c r="K3" s="225"/>
      <c r="L3" s="225"/>
      <c r="M3" s="226"/>
      <c r="N3" s="226"/>
      <c r="P3" s="144" t="str">
        <f>LEFT(C3,3)</f>
        <v/>
      </c>
      <c r="Q3" s="144" t="str">
        <f>LEFT(C3,2)</f>
        <v/>
      </c>
    </row>
    <row r="4" spans="1:28">
      <c r="A4" s="154"/>
      <c r="B4" s="149" t="str">
        <f t="shared" ref="B4:B67" si="1">IFERROR(VLOOKUP(A4,$R$6:$S$16,2,FALSE),"")</f>
        <v/>
      </c>
      <c r="C4" s="154"/>
      <c r="D4" s="149" t="str">
        <f t="shared" si="0"/>
        <v/>
      </c>
      <c r="E4" s="201"/>
      <c r="F4" s="149" t="str">
        <f t="shared" ref="F4:F67" si="2">IFERROR(VLOOKUP(E4,$AA$6:$AB$200,2,FALSE),"")</f>
        <v/>
      </c>
      <c r="G4" s="198"/>
      <c r="H4" s="198"/>
      <c r="I4" s="198"/>
      <c r="J4" s="226"/>
      <c r="K4" s="225"/>
      <c r="L4" s="225"/>
      <c r="M4" s="226"/>
      <c r="N4" s="226"/>
      <c r="P4" s="144" t="str">
        <f t="shared" ref="P4:P67" si="3">LEFT(C4,3)</f>
        <v/>
      </c>
      <c r="Q4" s="144" t="str">
        <f t="shared" ref="Q4:Q67" si="4">LEFT(C4,2)</f>
        <v/>
      </c>
      <c r="U4" s="150"/>
      <c r="V4" s="150"/>
    </row>
    <row r="5" spans="1:28">
      <c r="A5" s="154"/>
      <c r="B5" s="149" t="str">
        <f t="shared" si="1"/>
        <v/>
      </c>
      <c r="C5" s="154"/>
      <c r="D5" s="149" t="str">
        <f t="shared" si="0"/>
        <v/>
      </c>
      <c r="E5" s="201"/>
      <c r="F5" s="149" t="str">
        <f t="shared" si="2"/>
        <v/>
      </c>
      <c r="G5" s="198"/>
      <c r="H5" s="198"/>
      <c r="I5" s="198"/>
      <c r="J5" s="226"/>
      <c r="K5" s="225"/>
      <c r="L5" s="225"/>
      <c r="M5" s="226"/>
      <c r="N5" s="226"/>
      <c r="P5" s="144" t="str">
        <f t="shared" si="3"/>
        <v/>
      </c>
      <c r="Q5" s="144" t="str">
        <f t="shared" si="4"/>
        <v/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>
      <c r="A6" s="154"/>
      <c r="B6" s="149" t="str">
        <f t="shared" si="1"/>
        <v/>
      </c>
      <c r="C6" s="154"/>
      <c r="D6" s="149" t="str">
        <f t="shared" si="0"/>
        <v/>
      </c>
      <c r="E6" s="201"/>
      <c r="F6" s="149" t="str">
        <f t="shared" si="2"/>
        <v/>
      </c>
      <c r="G6" s="198"/>
      <c r="H6" s="198"/>
      <c r="I6" s="198"/>
      <c r="J6" s="226"/>
      <c r="K6" s="225"/>
      <c r="L6" s="225"/>
      <c r="M6" s="226"/>
      <c r="N6" s="226"/>
      <c r="P6" s="144" t="str">
        <f t="shared" si="3"/>
        <v/>
      </c>
      <c r="Q6" s="144" t="str">
        <f t="shared" si="4"/>
        <v/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914</v>
      </c>
      <c r="AB6" s="144" t="s">
        <v>914</v>
      </c>
    </row>
    <row r="7" spans="1:28">
      <c r="A7" s="154"/>
      <c r="B7" s="149" t="str">
        <f t="shared" si="1"/>
        <v/>
      </c>
      <c r="C7" s="154"/>
      <c r="D7" s="149" t="str">
        <f t="shared" si="0"/>
        <v/>
      </c>
      <c r="E7" s="201"/>
      <c r="F7" s="149" t="str">
        <f t="shared" si="2"/>
        <v/>
      </c>
      <c r="G7" s="198"/>
      <c r="H7" s="198"/>
      <c r="I7" s="198"/>
      <c r="J7" s="226"/>
      <c r="K7" s="225"/>
      <c r="L7" s="225"/>
      <c r="M7" s="226"/>
      <c r="N7" s="226"/>
      <c r="P7" s="144" t="str">
        <f t="shared" si="3"/>
        <v/>
      </c>
      <c r="Q7" s="144" t="str">
        <f t="shared" si="4"/>
        <v/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915</v>
      </c>
      <c r="AB7" s="144" t="s">
        <v>916</v>
      </c>
    </row>
    <row r="8" spans="1:28">
      <c r="A8" s="154"/>
      <c r="B8" s="149" t="str">
        <f t="shared" si="1"/>
        <v/>
      </c>
      <c r="C8" s="154"/>
      <c r="D8" s="149" t="str">
        <f t="shared" si="0"/>
        <v/>
      </c>
      <c r="E8" s="201"/>
      <c r="F8" s="149" t="str">
        <f t="shared" si="2"/>
        <v/>
      </c>
      <c r="G8" s="198"/>
      <c r="H8" s="198"/>
      <c r="I8" s="198"/>
      <c r="J8" s="226"/>
      <c r="K8" s="225"/>
      <c r="L8" s="225"/>
      <c r="M8" s="226"/>
      <c r="N8" s="226"/>
      <c r="P8" s="144" t="str">
        <f t="shared" si="3"/>
        <v/>
      </c>
      <c r="Q8" s="144" t="str">
        <f t="shared" si="4"/>
        <v/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917</v>
      </c>
      <c r="AB8" s="144" t="s">
        <v>918</v>
      </c>
    </row>
    <row r="9" spans="1:28">
      <c r="A9" s="154"/>
      <c r="B9" s="149" t="str">
        <f t="shared" si="1"/>
        <v/>
      </c>
      <c r="C9" s="154"/>
      <c r="D9" s="149" t="str">
        <f t="shared" si="0"/>
        <v/>
      </c>
      <c r="E9" s="201"/>
      <c r="F9" s="149" t="str">
        <f t="shared" si="2"/>
        <v/>
      </c>
      <c r="G9" s="198"/>
      <c r="H9" s="198"/>
      <c r="I9" s="198"/>
      <c r="J9" s="226"/>
      <c r="K9" s="225"/>
      <c r="L9" s="225"/>
      <c r="M9" s="226"/>
      <c r="N9" s="226"/>
      <c r="P9" s="144" t="str">
        <f t="shared" si="3"/>
        <v/>
      </c>
      <c r="Q9" s="144" t="str">
        <f t="shared" si="4"/>
        <v/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919</v>
      </c>
      <c r="AB9" s="144" t="s">
        <v>920</v>
      </c>
    </row>
    <row r="10" spans="1:28">
      <c r="A10" s="154"/>
      <c r="B10" s="149" t="str">
        <f t="shared" si="1"/>
        <v/>
      </c>
      <c r="C10" s="154"/>
      <c r="D10" s="149" t="str">
        <f t="shared" si="0"/>
        <v/>
      </c>
      <c r="E10" s="201"/>
      <c r="F10" s="149" t="str">
        <f t="shared" si="2"/>
        <v/>
      </c>
      <c r="G10" s="198"/>
      <c r="H10" s="198"/>
      <c r="I10" s="198"/>
      <c r="J10" s="226"/>
      <c r="K10" s="225"/>
      <c r="L10" s="225"/>
      <c r="M10" s="226"/>
      <c r="N10" s="226"/>
      <c r="P10" s="144" t="str">
        <f t="shared" si="3"/>
        <v/>
      </c>
      <c r="Q10" s="144" t="str">
        <f t="shared" si="4"/>
        <v/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921</v>
      </c>
      <c r="AB10" s="144" t="s">
        <v>922</v>
      </c>
    </row>
    <row r="11" spans="1:28">
      <c r="A11" s="154"/>
      <c r="B11" s="149" t="str">
        <f t="shared" si="1"/>
        <v/>
      </c>
      <c r="C11" s="154"/>
      <c r="D11" s="149" t="str">
        <f t="shared" si="0"/>
        <v/>
      </c>
      <c r="E11" s="201"/>
      <c r="F11" s="149" t="str">
        <f t="shared" si="2"/>
        <v/>
      </c>
      <c r="G11" s="198"/>
      <c r="H11" s="198"/>
      <c r="I11" s="198"/>
      <c r="J11" s="226"/>
      <c r="K11" s="225"/>
      <c r="L11" s="225"/>
      <c r="M11" s="226"/>
      <c r="N11" s="226"/>
      <c r="P11" s="144" t="str">
        <f t="shared" si="3"/>
        <v/>
      </c>
      <c r="Q11" s="144" t="str">
        <f t="shared" si="4"/>
        <v/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923</v>
      </c>
      <c r="AB11" s="144" t="s">
        <v>924</v>
      </c>
    </row>
    <row r="12" spans="1:28">
      <c r="A12" s="154"/>
      <c r="B12" s="149" t="str">
        <f t="shared" si="1"/>
        <v/>
      </c>
      <c r="C12" s="154"/>
      <c r="D12" s="149" t="str">
        <f t="shared" si="0"/>
        <v/>
      </c>
      <c r="E12" s="201"/>
      <c r="F12" s="149" t="str">
        <f t="shared" si="2"/>
        <v/>
      </c>
      <c r="G12" s="198"/>
      <c r="H12" s="198"/>
      <c r="I12" s="198"/>
      <c r="J12" s="226"/>
      <c r="K12" s="225"/>
      <c r="L12" s="225"/>
      <c r="M12" s="226"/>
      <c r="N12" s="226"/>
      <c r="P12" s="144" t="str">
        <f t="shared" si="3"/>
        <v/>
      </c>
      <c r="Q12" s="144" t="str">
        <f t="shared" si="4"/>
        <v/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925</v>
      </c>
      <c r="AB12" s="144" t="s">
        <v>926</v>
      </c>
    </row>
    <row r="13" spans="1:28">
      <c r="A13" s="154"/>
      <c r="B13" s="149" t="str">
        <f t="shared" si="1"/>
        <v/>
      </c>
      <c r="C13" s="154"/>
      <c r="D13" s="149" t="str">
        <f t="shared" si="0"/>
        <v/>
      </c>
      <c r="E13" s="201"/>
      <c r="F13" s="149" t="str">
        <f t="shared" si="2"/>
        <v/>
      </c>
      <c r="G13" s="198"/>
      <c r="H13" s="198"/>
      <c r="I13" s="198"/>
      <c r="J13" s="226"/>
      <c r="K13" s="225"/>
      <c r="L13" s="225"/>
      <c r="M13" s="226"/>
      <c r="N13" s="226"/>
      <c r="P13" s="144" t="str">
        <f t="shared" si="3"/>
        <v/>
      </c>
      <c r="Q13" s="144" t="str">
        <f t="shared" si="4"/>
        <v/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927</v>
      </c>
      <c r="AB13" s="144" t="s">
        <v>928</v>
      </c>
    </row>
    <row r="14" spans="1:28">
      <c r="A14" s="154"/>
      <c r="B14" s="149" t="str">
        <f t="shared" si="1"/>
        <v/>
      </c>
      <c r="C14" s="154"/>
      <c r="D14" s="149" t="str">
        <f t="shared" si="0"/>
        <v/>
      </c>
      <c r="E14" s="201"/>
      <c r="F14" s="149" t="str">
        <f t="shared" si="2"/>
        <v/>
      </c>
      <c r="G14" s="198"/>
      <c r="H14" s="198"/>
      <c r="I14" s="198"/>
      <c r="J14" s="226"/>
      <c r="K14" s="225"/>
      <c r="L14" s="225"/>
      <c r="M14" s="226"/>
      <c r="N14" s="226"/>
      <c r="P14" s="144" t="str">
        <f t="shared" si="3"/>
        <v/>
      </c>
      <c r="Q14" s="144" t="str">
        <f t="shared" si="4"/>
        <v/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929</v>
      </c>
      <c r="AB14" s="144" t="s">
        <v>930</v>
      </c>
    </row>
    <row r="15" spans="1:28">
      <c r="A15" s="154"/>
      <c r="B15" s="149" t="str">
        <f t="shared" si="1"/>
        <v/>
      </c>
      <c r="C15" s="154"/>
      <c r="D15" s="149" t="str">
        <f t="shared" si="0"/>
        <v/>
      </c>
      <c r="E15" s="201"/>
      <c r="F15" s="149" t="str">
        <f t="shared" si="2"/>
        <v/>
      </c>
      <c r="G15" s="198"/>
      <c r="H15" s="198"/>
      <c r="I15" s="198"/>
      <c r="J15" s="226"/>
      <c r="K15" s="225"/>
      <c r="L15" s="225"/>
      <c r="M15" s="226"/>
      <c r="N15" s="226"/>
      <c r="P15" s="144" t="str">
        <f t="shared" si="3"/>
        <v/>
      </c>
      <c r="Q15" s="144" t="str">
        <f t="shared" si="4"/>
        <v/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931</v>
      </c>
      <c r="AB15" s="144" t="s">
        <v>932</v>
      </c>
    </row>
    <row r="16" spans="1:28">
      <c r="A16" s="154"/>
      <c r="B16" s="149" t="str">
        <f t="shared" si="1"/>
        <v/>
      </c>
      <c r="C16" s="154"/>
      <c r="D16" s="149" t="str">
        <f t="shared" si="0"/>
        <v/>
      </c>
      <c r="E16" s="201"/>
      <c r="F16" s="149" t="str">
        <f t="shared" si="2"/>
        <v/>
      </c>
      <c r="G16" s="198"/>
      <c r="H16" s="198"/>
      <c r="I16" s="198"/>
      <c r="J16" s="226"/>
      <c r="K16" s="225"/>
      <c r="L16" s="225"/>
      <c r="M16" s="226"/>
      <c r="N16" s="226"/>
      <c r="P16" s="144" t="str">
        <f t="shared" si="3"/>
        <v/>
      </c>
      <c r="Q16" s="144" t="str">
        <f t="shared" si="4"/>
        <v/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933</v>
      </c>
      <c r="AB16" s="144" t="s">
        <v>934</v>
      </c>
    </row>
    <row r="17" spans="1:28">
      <c r="A17" s="154"/>
      <c r="B17" s="149" t="str">
        <f t="shared" si="1"/>
        <v/>
      </c>
      <c r="C17" s="154"/>
      <c r="D17" s="149" t="str">
        <f t="shared" si="0"/>
        <v/>
      </c>
      <c r="E17" s="201"/>
      <c r="F17" s="149" t="str">
        <f t="shared" si="2"/>
        <v/>
      </c>
      <c r="G17" s="198"/>
      <c r="H17" s="198"/>
      <c r="I17" s="198"/>
      <c r="J17" s="226"/>
      <c r="K17" s="225"/>
      <c r="L17" s="225"/>
      <c r="M17" s="226"/>
      <c r="N17" s="226"/>
      <c r="P17" s="144" t="str">
        <f t="shared" si="3"/>
        <v/>
      </c>
      <c r="Q17" s="144" t="str">
        <f t="shared" si="4"/>
        <v/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935</v>
      </c>
      <c r="AB17" s="144" t="s">
        <v>936</v>
      </c>
    </row>
    <row r="18" spans="1:28">
      <c r="A18" s="154"/>
      <c r="B18" s="149" t="str">
        <f t="shared" si="1"/>
        <v/>
      </c>
      <c r="C18" s="154"/>
      <c r="D18" s="149" t="str">
        <f t="shared" si="0"/>
        <v/>
      </c>
      <c r="E18" s="201"/>
      <c r="F18" s="149" t="str">
        <f t="shared" si="2"/>
        <v/>
      </c>
      <c r="G18" s="198"/>
      <c r="H18" s="198"/>
      <c r="I18" s="198"/>
      <c r="J18" s="226"/>
      <c r="K18" s="225"/>
      <c r="L18" s="225"/>
      <c r="M18" s="226"/>
      <c r="N18" s="226"/>
      <c r="P18" s="144" t="str">
        <f t="shared" si="3"/>
        <v/>
      </c>
      <c r="Q18" s="144" t="str">
        <f t="shared" si="4"/>
        <v/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937</v>
      </c>
      <c r="AB18" s="144" t="s">
        <v>938</v>
      </c>
    </row>
    <row r="19" spans="1:28">
      <c r="A19" s="154"/>
      <c r="B19" s="149" t="str">
        <f t="shared" si="1"/>
        <v/>
      </c>
      <c r="C19" s="154"/>
      <c r="D19" s="149" t="str">
        <f t="shared" si="0"/>
        <v/>
      </c>
      <c r="E19" s="201"/>
      <c r="F19" s="149" t="str">
        <f t="shared" si="2"/>
        <v/>
      </c>
      <c r="G19" s="198"/>
      <c r="H19" s="198"/>
      <c r="I19" s="198"/>
      <c r="J19" s="226"/>
      <c r="K19" s="225"/>
      <c r="L19" s="225"/>
      <c r="M19" s="226"/>
      <c r="N19" s="226"/>
      <c r="P19" s="144" t="str">
        <f t="shared" si="3"/>
        <v/>
      </c>
      <c r="Q19" s="144" t="str">
        <f t="shared" si="4"/>
        <v/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939</v>
      </c>
      <c r="AB19" s="144" t="s">
        <v>940</v>
      </c>
    </row>
    <row r="20" spans="1:28">
      <c r="A20" s="154"/>
      <c r="B20" s="149" t="str">
        <f t="shared" si="1"/>
        <v/>
      </c>
      <c r="C20" s="154"/>
      <c r="D20" s="149" t="str">
        <f t="shared" si="0"/>
        <v/>
      </c>
      <c r="E20" s="201"/>
      <c r="F20" s="149" t="str">
        <f t="shared" si="2"/>
        <v/>
      </c>
      <c r="G20" s="198"/>
      <c r="H20" s="198"/>
      <c r="I20" s="198"/>
      <c r="J20" s="226"/>
      <c r="K20" s="225"/>
      <c r="L20" s="225"/>
      <c r="M20" s="226"/>
      <c r="N20" s="226"/>
      <c r="P20" s="144" t="str">
        <f t="shared" si="3"/>
        <v/>
      </c>
      <c r="Q20" s="144" t="str">
        <f t="shared" si="4"/>
        <v/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941</v>
      </c>
      <c r="AB20" s="144" t="s">
        <v>942</v>
      </c>
    </row>
    <row r="21" spans="1:28">
      <c r="A21" s="154"/>
      <c r="B21" s="149" t="str">
        <f t="shared" si="1"/>
        <v/>
      </c>
      <c r="C21" s="154"/>
      <c r="D21" s="149" t="str">
        <f t="shared" si="0"/>
        <v/>
      </c>
      <c r="E21" s="201"/>
      <c r="F21" s="149" t="str">
        <f t="shared" si="2"/>
        <v/>
      </c>
      <c r="G21" s="198"/>
      <c r="H21" s="198"/>
      <c r="I21" s="198"/>
      <c r="J21" s="226"/>
      <c r="K21" s="225"/>
      <c r="L21" s="225"/>
      <c r="M21" s="226"/>
      <c r="N21" s="226"/>
      <c r="P21" s="144" t="str">
        <f t="shared" si="3"/>
        <v/>
      </c>
      <c r="Q21" s="144" t="str">
        <f t="shared" si="4"/>
        <v/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943</v>
      </c>
      <c r="AB21" s="144" t="s">
        <v>944</v>
      </c>
    </row>
    <row r="22" spans="1:28">
      <c r="A22" s="154"/>
      <c r="B22" s="149" t="str">
        <f t="shared" si="1"/>
        <v/>
      </c>
      <c r="C22" s="154"/>
      <c r="D22" s="149" t="str">
        <f t="shared" si="0"/>
        <v/>
      </c>
      <c r="E22" s="201"/>
      <c r="F22" s="149" t="str">
        <f t="shared" si="2"/>
        <v/>
      </c>
      <c r="G22" s="198"/>
      <c r="H22" s="198"/>
      <c r="I22" s="198"/>
      <c r="J22" s="226"/>
      <c r="K22" s="225"/>
      <c r="L22" s="225"/>
      <c r="M22" s="226"/>
      <c r="N22" s="226"/>
      <c r="P22" s="144" t="str">
        <f t="shared" si="3"/>
        <v/>
      </c>
      <c r="Q22" s="144" t="str">
        <f t="shared" si="4"/>
        <v/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945</v>
      </c>
      <c r="AB22" s="144" t="s">
        <v>946</v>
      </c>
    </row>
    <row r="23" spans="1:28">
      <c r="A23" s="154"/>
      <c r="B23" s="149" t="str">
        <f t="shared" si="1"/>
        <v/>
      </c>
      <c r="C23" s="154"/>
      <c r="D23" s="149" t="str">
        <f t="shared" si="0"/>
        <v/>
      </c>
      <c r="E23" s="201"/>
      <c r="F23" s="149" t="str">
        <f t="shared" si="2"/>
        <v/>
      </c>
      <c r="G23" s="198"/>
      <c r="H23" s="198"/>
      <c r="I23" s="198"/>
      <c r="J23" s="226"/>
      <c r="K23" s="225"/>
      <c r="L23" s="225"/>
      <c r="M23" s="226"/>
      <c r="N23" s="226"/>
      <c r="P23" s="144" t="str">
        <f t="shared" si="3"/>
        <v/>
      </c>
      <c r="Q23" s="144" t="str">
        <f t="shared" si="4"/>
        <v/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947</v>
      </c>
      <c r="AB23" s="144" t="s">
        <v>948</v>
      </c>
    </row>
    <row r="24" spans="1:28">
      <c r="A24" s="154"/>
      <c r="B24" s="149" t="str">
        <f t="shared" si="1"/>
        <v/>
      </c>
      <c r="C24" s="154"/>
      <c r="D24" s="149" t="str">
        <f t="shared" si="0"/>
        <v/>
      </c>
      <c r="E24" s="201"/>
      <c r="F24" s="149" t="str">
        <f t="shared" si="2"/>
        <v/>
      </c>
      <c r="G24" s="198"/>
      <c r="H24" s="198"/>
      <c r="I24" s="198"/>
      <c r="J24" s="226"/>
      <c r="K24" s="225"/>
      <c r="L24" s="225"/>
      <c r="M24" s="226"/>
      <c r="N24" s="226"/>
      <c r="P24" s="144" t="str">
        <f t="shared" si="3"/>
        <v/>
      </c>
      <c r="Q24" s="144" t="str">
        <f t="shared" si="4"/>
        <v/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949</v>
      </c>
      <c r="AB24" s="144" t="s">
        <v>950</v>
      </c>
    </row>
    <row r="25" spans="1:28">
      <c r="A25" s="154"/>
      <c r="B25" s="149" t="str">
        <f t="shared" si="1"/>
        <v/>
      </c>
      <c r="C25" s="154"/>
      <c r="D25" s="149" t="str">
        <f t="shared" si="0"/>
        <v/>
      </c>
      <c r="E25" s="201"/>
      <c r="F25" s="149" t="str">
        <f t="shared" si="2"/>
        <v/>
      </c>
      <c r="G25" s="198"/>
      <c r="H25" s="198"/>
      <c r="I25" s="198"/>
      <c r="J25" s="226"/>
      <c r="K25" s="225"/>
      <c r="L25" s="225"/>
      <c r="M25" s="226"/>
      <c r="N25" s="226"/>
      <c r="P25" s="144" t="str">
        <f t="shared" si="3"/>
        <v/>
      </c>
      <c r="Q25" s="144" t="str">
        <f t="shared" si="4"/>
        <v/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951</v>
      </c>
      <c r="AB25" s="144" t="s">
        <v>952</v>
      </c>
    </row>
    <row r="26" spans="1:28">
      <c r="A26" s="154"/>
      <c r="B26" s="149" t="str">
        <f t="shared" si="1"/>
        <v/>
      </c>
      <c r="C26" s="154"/>
      <c r="D26" s="149" t="str">
        <f t="shared" si="0"/>
        <v/>
      </c>
      <c r="E26" s="201"/>
      <c r="F26" s="149" t="str">
        <f t="shared" si="2"/>
        <v/>
      </c>
      <c r="G26" s="198"/>
      <c r="H26" s="198"/>
      <c r="I26" s="198"/>
      <c r="J26" s="226"/>
      <c r="K26" s="225"/>
      <c r="L26" s="225"/>
      <c r="M26" s="226"/>
      <c r="N26" s="226"/>
      <c r="P26" s="144" t="str">
        <f t="shared" si="3"/>
        <v/>
      </c>
      <c r="Q26" s="144" t="str">
        <f t="shared" si="4"/>
        <v/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953</v>
      </c>
      <c r="AB26" s="144" t="s">
        <v>954</v>
      </c>
    </row>
    <row r="27" spans="1:28">
      <c r="A27" s="154"/>
      <c r="B27" s="149" t="str">
        <f t="shared" si="1"/>
        <v/>
      </c>
      <c r="C27" s="154"/>
      <c r="D27" s="149" t="str">
        <f t="shared" si="0"/>
        <v/>
      </c>
      <c r="E27" s="201"/>
      <c r="F27" s="149" t="str">
        <f t="shared" si="2"/>
        <v/>
      </c>
      <c r="G27" s="198"/>
      <c r="H27" s="198"/>
      <c r="I27" s="198"/>
      <c r="J27" s="226"/>
      <c r="K27" s="225"/>
      <c r="L27" s="225"/>
      <c r="M27" s="226"/>
      <c r="N27" s="226"/>
      <c r="P27" s="144" t="str">
        <f t="shared" si="3"/>
        <v/>
      </c>
      <c r="Q27" s="144" t="str">
        <f t="shared" si="4"/>
        <v/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955</v>
      </c>
      <c r="AB27" s="144" t="s">
        <v>956</v>
      </c>
    </row>
    <row r="28" spans="1:28">
      <c r="A28" s="154"/>
      <c r="B28" s="149" t="str">
        <f t="shared" si="1"/>
        <v/>
      </c>
      <c r="C28" s="154"/>
      <c r="D28" s="149" t="str">
        <f t="shared" si="0"/>
        <v/>
      </c>
      <c r="E28" s="201"/>
      <c r="F28" s="149" t="str">
        <f t="shared" si="2"/>
        <v/>
      </c>
      <c r="G28" s="198"/>
      <c r="H28" s="198"/>
      <c r="I28" s="198"/>
      <c r="J28" s="226"/>
      <c r="K28" s="225"/>
      <c r="L28" s="225"/>
      <c r="M28" s="226"/>
      <c r="N28" s="226"/>
      <c r="P28" s="144" t="str">
        <f t="shared" si="3"/>
        <v/>
      </c>
      <c r="Q28" s="144" t="str">
        <f t="shared" si="4"/>
        <v/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957</v>
      </c>
      <c r="AB28" s="144" t="s">
        <v>958</v>
      </c>
    </row>
    <row r="29" spans="1:28">
      <c r="A29" s="154"/>
      <c r="B29" s="149" t="str">
        <f t="shared" si="1"/>
        <v/>
      </c>
      <c r="C29" s="154"/>
      <c r="D29" s="149" t="str">
        <f t="shared" si="0"/>
        <v/>
      </c>
      <c r="E29" s="201"/>
      <c r="F29" s="149" t="str">
        <f t="shared" si="2"/>
        <v/>
      </c>
      <c r="G29" s="198"/>
      <c r="H29" s="198"/>
      <c r="I29" s="198"/>
      <c r="J29" s="226"/>
      <c r="K29" s="225"/>
      <c r="L29" s="225"/>
      <c r="M29" s="226"/>
      <c r="N29" s="226"/>
      <c r="P29" s="144" t="str">
        <f t="shared" si="3"/>
        <v/>
      </c>
      <c r="Q29" s="144" t="str">
        <f t="shared" si="4"/>
        <v/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959</v>
      </c>
      <c r="AB29" s="144" t="s">
        <v>960</v>
      </c>
    </row>
    <row r="30" spans="1:28">
      <c r="A30" s="154"/>
      <c r="B30" s="149" t="str">
        <f t="shared" si="1"/>
        <v/>
      </c>
      <c r="C30" s="154"/>
      <c r="D30" s="149" t="str">
        <f t="shared" si="0"/>
        <v/>
      </c>
      <c r="E30" s="201"/>
      <c r="F30" s="149" t="str">
        <f t="shared" si="2"/>
        <v/>
      </c>
      <c r="G30" s="198"/>
      <c r="H30" s="198"/>
      <c r="I30" s="198"/>
      <c r="J30" s="226"/>
      <c r="K30" s="225"/>
      <c r="L30" s="225"/>
      <c r="M30" s="226"/>
      <c r="N30" s="226"/>
      <c r="P30" s="144" t="str">
        <f t="shared" si="3"/>
        <v/>
      </c>
      <c r="Q30" s="144" t="str">
        <f t="shared" si="4"/>
        <v/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961</v>
      </c>
      <c r="AB30" s="144" t="s">
        <v>962</v>
      </c>
    </row>
    <row r="31" spans="1:28">
      <c r="A31" s="154"/>
      <c r="B31" s="149" t="str">
        <f t="shared" si="1"/>
        <v/>
      </c>
      <c r="C31" s="154"/>
      <c r="D31" s="149" t="str">
        <f t="shared" si="0"/>
        <v/>
      </c>
      <c r="E31" s="201"/>
      <c r="F31" s="149" t="str">
        <f t="shared" si="2"/>
        <v/>
      </c>
      <c r="G31" s="198"/>
      <c r="H31" s="198"/>
      <c r="I31" s="198"/>
      <c r="J31" s="226"/>
      <c r="K31" s="225"/>
      <c r="L31" s="225"/>
      <c r="M31" s="226"/>
      <c r="N31" s="226"/>
      <c r="P31" s="144" t="str">
        <f t="shared" si="3"/>
        <v/>
      </c>
      <c r="Q31" s="144" t="str">
        <f t="shared" si="4"/>
        <v/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963</v>
      </c>
      <c r="AB31" s="144" t="s">
        <v>964</v>
      </c>
    </row>
    <row r="32" spans="1:28">
      <c r="A32" s="154"/>
      <c r="B32" s="149" t="str">
        <f t="shared" si="1"/>
        <v/>
      </c>
      <c r="C32" s="154"/>
      <c r="D32" s="149" t="str">
        <f t="shared" si="0"/>
        <v/>
      </c>
      <c r="E32" s="201"/>
      <c r="F32" s="149" t="str">
        <f t="shared" si="2"/>
        <v/>
      </c>
      <c r="G32" s="198"/>
      <c r="H32" s="198"/>
      <c r="I32" s="198"/>
      <c r="J32" s="226"/>
      <c r="K32" s="225"/>
      <c r="L32" s="225"/>
      <c r="M32" s="226"/>
      <c r="N32" s="226"/>
      <c r="P32" s="144" t="str">
        <f t="shared" si="3"/>
        <v/>
      </c>
      <c r="Q32" s="144" t="str">
        <f t="shared" si="4"/>
        <v/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965</v>
      </c>
      <c r="AB32" s="144" t="s">
        <v>966</v>
      </c>
    </row>
    <row r="33" spans="1:28">
      <c r="A33" s="154"/>
      <c r="B33" s="149" t="str">
        <f t="shared" si="1"/>
        <v/>
      </c>
      <c r="C33" s="154"/>
      <c r="D33" s="149" t="str">
        <f t="shared" si="0"/>
        <v/>
      </c>
      <c r="E33" s="201"/>
      <c r="F33" s="149" t="str">
        <f t="shared" si="2"/>
        <v/>
      </c>
      <c r="G33" s="198"/>
      <c r="H33" s="198"/>
      <c r="I33" s="198"/>
      <c r="J33" s="226"/>
      <c r="K33" s="225"/>
      <c r="L33" s="225"/>
      <c r="M33" s="226"/>
      <c r="N33" s="226"/>
      <c r="P33" s="144" t="str">
        <f t="shared" si="3"/>
        <v/>
      </c>
      <c r="Q33" s="144" t="str">
        <f t="shared" si="4"/>
        <v/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967</v>
      </c>
      <c r="AB33" s="144" t="s">
        <v>968</v>
      </c>
    </row>
    <row r="34" spans="1:28">
      <c r="A34" s="154"/>
      <c r="B34" s="149" t="str">
        <f t="shared" si="1"/>
        <v/>
      </c>
      <c r="C34" s="154"/>
      <c r="D34" s="149" t="str">
        <f t="shared" si="0"/>
        <v/>
      </c>
      <c r="E34" s="201"/>
      <c r="F34" s="149" t="str">
        <f t="shared" si="2"/>
        <v/>
      </c>
      <c r="G34" s="198"/>
      <c r="H34" s="198"/>
      <c r="I34" s="198"/>
      <c r="J34" s="226"/>
      <c r="K34" s="225"/>
      <c r="L34" s="225"/>
      <c r="M34" s="226"/>
      <c r="N34" s="226"/>
      <c r="P34" s="144" t="str">
        <f t="shared" si="3"/>
        <v/>
      </c>
      <c r="Q34" s="144" t="str">
        <f t="shared" si="4"/>
        <v/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969</v>
      </c>
      <c r="AB34" s="144" t="s">
        <v>970</v>
      </c>
    </row>
    <row r="35" spans="1:28">
      <c r="A35" s="154"/>
      <c r="B35" s="149" t="str">
        <f t="shared" si="1"/>
        <v/>
      </c>
      <c r="C35" s="154"/>
      <c r="D35" s="149" t="str">
        <f t="shared" si="0"/>
        <v/>
      </c>
      <c r="E35" s="201"/>
      <c r="F35" s="149" t="str">
        <f t="shared" si="2"/>
        <v/>
      </c>
      <c r="G35" s="198"/>
      <c r="H35" s="198"/>
      <c r="I35" s="198"/>
      <c r="J35" s="226"/>
      <c r="K35" s="225"/>
      <c r="L35" s="225"/>
      <c r="M35" s="226"/>
      <c r="N35" s="226"/>
      <c r="P35" s="144" t="str">
        <f t="shared" si="3"/>
        <v/>
      </c>
      <c r="Q35" s="144" t="str">
        <f t="shared" si="4"/>
        <v/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971</v>
      </c>
      <c r="AB35" s="144" t="s">
        <v>972</v>
      </c>
    </row>
    <row r="36" spans="1:28">
      <c r="A36" s="154"/>
      <c r="B36" s="149" t="str">
        <f t="shared" si="1"/>
        <v/>
      </c>
      <c r="C36" s="154"/>
      <c r="D36" s="149" t="str">
        <f t="shared" si="0"/>
        <v/>
      </c>
      <c r="E36" s="201"/>
      <c r="F36" s="149" t="str">
        <f t="shared" si="2"/>
        <v/>
      </c>
      <c r="G36" s="198"/>
      <c r="H36" s="198"/>
      <c r="I36" s="198"/>
      <c r="J36" s="226"/>
      <c r="K36" s="225"/>
      <c r="L36" s="225"/>
      <c r="M36" s="226"/>
      <c r="N36" s="226"/>
      <c r="P36" s="144" t="str">
        <f t="shared" si="3"/>
        <v/>
      </c>
      <c r="Q36" s="144" t="str">
        <f t="shared" si="4"/>
        <v/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973</v>
      </c>
      <c r="AB36" s="144" t="s">
        <v>974</v>
      </c>
    </row>
    <row r="37" spans="1:28">
      <c r="A37" s="154"/>
      <c r="B37" s="149" t="str">
        <f t="shared" si="1"/>
        <v/>
      </c>
      <c r="C37" s="154"/>
      <c r="D37" s="149" t="str">
        <f t="shared" si="0"/>
        <v/>
      </c>
      <c r="E37" s="201"/>
      <c r="F37" s="149" t="str">
        <f t="shared" si="2"/>
        <v/>
      </c>
      <c r="G37" s="198"/>
      <c r="H37" s="198"/>
      <c r="I37" s="198"/>
      <c r="J37" s="226"/>
      <c r="K37" s="225"/>
      <c r="L37" s="225"/>
      <c r="M37" s="226"/>
      <c r="N37" s="226"/>
      <c r="P37" s="144" t="str">
        <f t="shared" si="3"/>
        <v/>
      </c>
      <c r="Q37" s="144" t="str">
        <f t="shared" si="4"/>
        <v/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975</v>
      </c>
      <c r="AB37" s="144" t="s">
        <v>976</v>
      </c>
    </row>
    <row r="38" spans="1:28">
      <c r="A38" s="154"/>
      <c r="B38" s="149" t="str">
        <f t="shared" si="1"/>
        <v/>
      </c>
      <c r="C38" s="154"/>
      <c r="D38" s="149" t="str">
        <f t="shared" si="0"/>
        <v/>
      </c>
      <c r="E38" s="201"/>
      <c r="F38" s="149" t="str">
        <f t="shared" si="2"/>
        <v/>
      </c>
      <c r="G38" s="198"/>
      <c r="H38" s="198"/>
      <c r="I38" s="198"/>
      <c r="J38" s="226"/>
      <c r="K38" s="225"/>
      <c r="L38" s="225"/>
      <c r="M38" s="226"/>
      <c r="N38" s="226"/>
      <c r="P38" s="144" t="str">
        <f t="shared" si="3"/>
        <v/>
      </c>
      <c r="Q38" s="144" t="str">
        <f t="shared" si="4"/>
        <v/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977</v>
      </c>
      <c r="AB38" s="144" t="s">
        <v>978</v>
      </c>
    </row>
    <row r="39" spans="1:28">
      <c r="A39" s="154"/>
      <c r="B39" s="149" t="str">
        <f t="shared" si="1"/>
        <v/>
      </c>
      <c r="C39" s="154"/>
      <c r="D39" s="149" t="str">
        <f t="shared" si="0"/>
        <v/>
      </c>
      <c r="E39" s="201"/>
      <c r="F39" s="149" t="str">
        <f t="shared" si="2"/>
        <v/>
      </c>
      <c r="G39" s="198"/>
      <c r="H39" s="198"/>
      <c r="I39" s="198"/>
      <c r="J39" s="226"/>
      <c r="K39" s="225"/>
      <c r="L39" s="225"/>
      <c r="M39" s="226"/>
      <c r="N39" s="226"/>
      <c r="P39" s="144" t="str">
        <f t="shared" si="3"/>
        <v/>
      </c>
      <c r="Q39" s="144" t="str">
        <f t="shared" si="4"/>
        <v/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979</v>
      </c>
      <c r="AB39" s="144" t="s">
        <v>980</v>
      </c>
    </row>
    <row r="40" spans="1:28">
      <c r="A40" s="154"/>
      <c r="B40" s="149" t="str">
        <f t="shared" si="1"/>
        <v/>
      </c>
      <c r="C40" s="154"/>
      <c r="D40" s="149" t="str">
        <f t="shared" si="0"/>
        <v/>
      </c>
      <c r="E40" s="201"/>
      <c r="F40" s="149" t="str">
        <f t="shared" si="2"/>
        <v/>
      </c>
      <c r="G40" s="198"/>
      <c r="H40" s="198"/>
      <c r="I40" s="198"/>
      <c r="J40" s="226"/>
      <c r="K40" s="225"/>
      <c r="L40" s="225"/>
      <c r="M40" s="226"/>
      <c r="N40" s="226"/>
      <c r="P40" s="144" t="str">
        <f t="shared" si="3"/>
        <v/>
      </c>
      <c r="Q40" s="144" t="str">
        <f t="shared" si="4"/>
        <v/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981</v>
      </c>
      <c r="AB40" s="144" t="s">
        <v>982</v>
      </c>
    </row>
    <row r="41" spans="1:28">
      <c r="A41" s="154"/>
      <c r="B41" s="149" t="str">
        <f t="shared" si="1"/>
        <v/>
      </c>
      <c r="C41" s="154"/>
      <c r="D41" s="149" t="str">
        <f t="shared" si="0"/>
        <v/>
      </c>
      <c r="E41" s="201"/>
      <c r="F41" s="149" t="str">
        <f t="shared" si="2"/>
        <v/>
      </c>
      <c r="G41" s="198"/>
      <c r="H41" s="198"/>
      <c r="I41" s="198"/>
      <c r="J41" s="226"/>
      <c r="K41" s="225"/>
      <c r="L41" s="225"/>
      <c r="M41" s="226"/>
      <c r="N41" s="226"/>
      <c r="P41" s="144" t="str">
        <f t="shared" si="3"/>
        <v/>
      </c>
      <c r="Q41" s="144" t="str">
        <f t="shared" si="4"/>
        <v/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983</v>
      </c>
      <c r="AB41" s="144" t="s">
        <v>984</v>
      </c>
    </row>
    <row r="42" spans="1:28">
      <c r="A42" s="154"/>
      <c r="B42" s="149" t="str">
        <f t="shared" si="1"/>
        <v/>
      </c>
      <c r="C42" s="154"/>
      <c r="D42" s="149" t="str">
        <f t="shared" si="0"/>
        <v/>
      </c>
      <c r="E42" s="201"/>
      <c r="F42" s="149" t="str">
        <f t="shared" si="2"/>
        <v/>
      </c>
      <c r="G42" s="198"/>
      <c r="H42" s="198"/>
      <c r="I42" s="198"/>
      <c r="J42" s="226"/>
      <c r="K42" s="225"/>
      <c r="L42" s="225"/>
      <c r="M42" s="226"/>
      <c r="N42" s="226"/>
      <c r="P42" s="144" t="str">
        <f t="shared" si="3"/>
        <v/>
      </c>
      <c r="Q42" s="144" t="str">
        <f t="shared" si="4"/>
        <v/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985</v>
      </c>
      <c r="AB42" s="144" t="s">
        <v>986</v>
      </c>
    </row>
    <row r="43" spans="1:28">
      <c r="A43" s="154"/>
      <c r="B43" s="149" t="str">
        <f t="shared" si="1"/>
        <v/>
      </c>
      <c r="C43" s="154"/>
      <c r="D43" s="149" t="str">
        <f t="shared" si="0"/>
        <v/>
      </c>
      <c r="E43" s="201"/>
      <c r="F43" s="149" t="str">
        <f t="shared" si="2"/>
        <v/>
      </c>
      <c r="G43" s="198"/>
      <c r="H43" s="198"/>
      <c r="I43" s="198"/>
      <c r="J43" s="226"/>
      <c r="K43" s="225"/>
      <c r="L43" s="225"/>
      <c r="M43" s="226"/>
      <c r="N43" s="226"/>
      <c r="P43" s="144" t="str">
        <f t="shared" si="3"/>
        <v/>
      </c>
      <c r="Q43" s="144" t="str">
        <f t="shared" si="4"/>
        <v/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987</v>
      </c>
      <c r="AB43" s="144" t="s">
        <v>988</v>
      </c>
    </row>
    <row r="44" spans="1:28">
      <c r="A44" s="154"/>
      <c r="B44" s="149" t="str">
        <f t="shared" si="1"/>
        <v/>
      </c>
      <c r="C44" s="154"/>
      <c r="D44" s="149" t="str">
        <f t="shared" si="0"/>
        <v/>
      </c>
      <c r="E44" s="201"/>
      <c r="F44" s="149" t="str">
        <f t="shared" si="2"/>
        <v/>
      </c>
      <c r="G44" s="198"/>
      <c r="H44" s="198"/>
      <c r="I44" s="198"/>
      <c r="J44" s="226"/>
      <c r="K44" s="225"/>
      <c r="L44" s="225"/>
      <c r="M44" s="226"/>
      <c r="N44" s="226"/>
      <c r="P44" s="144" t="str">
        <f t="shared" si="3"/>
        <v/>
      </c>
      <c r="Q44" s="144" t="str">
        <f t="shared" si="4"/>
        <v/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989</v>
      </c>
      <c r="AB44" s="144" t="s">
        <v>990</v>
      </c>
    </row>
    <row r="45" spans="1:28">
      <c r="A45" s="154"/>
      <c r="B45" s="149" t="str">
        <f t="shared" si="1"/>
        <v/>
      </c>
      <c r="C45" s="154"/>
      <c r="D45" s="149" t="str">
        <f t="shared" si="0"/>
        <v/>
      </c>
      <c r="E45" s="201"/>
      <c r="F45" s="149" t="str">
        <f t="shared" si="2"/>
        <v/>
      </c>
      <c r="G45" s="198"/>
      <c r="H45" s="198"/>
      <c r="I45" s="198"/>
      <c r="J45" s="226"/>
      <c r="K45" s="225"/>
      <c r="L45" s="225"/>
      <c r="M45" s="226"/>
      <c r="N45" s="226"/>
      <c r="P45" s="144" t="str">
        <f t="shared" si="3"/>
        <v/>
      </c>
      <c r="Q45" s="144" t="str">
        <f t="shared" si="4"/>
        <v/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991</v>
      </c>
      <c r="AB45" s="144" t="s">
        <v>992</v>
      </c>
    </row>
    <row r="46" spans="1:28">
      <c r="A46" s="154"/>
      <c r="B46" s="149" t="str">
        <f t="shared" si="1"/>
        <v/>
      </c>
      <c r="C46" s="154"/>
      <c r="D46" s="149" t="str">
        <f t="shared" si="0"/>
        <v/>
      </c>
      <c r="E46" s="201"/>
      <c r="F46" s="149" t="str">
        <f t="shared" si="2"/>
        <v/>
      </c>
      <c r="G46" s="198"/>
      <c r="H46" s="198"/>
      <c r="I46" s="198"/>
      <c r="J46" s="226"/>
      <c r="K46" s="225"/>
      <c r="L46" s="225"/>
      <c r="M46" s="226"/>
      <c r="N46" s="226"/>
      <c r="P46" s="144" t="str">
        <f t="shared" si="3"/>
        <v/>
      </c>
      <c r="Q46" s="144" t="str">
        <f t="shared" si="4"/>
        <v/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993</v>
      </c>
      <c r="AB46" s="144" t="s">
        <v>994</v>
      </c>
    </row>
    <row r="47" spans="1:28">
      <c r="A47" s="154"/>
      <c r="B47" s="149" t="str">
        <f t="shared" si="1"/>
        <v/>
      </c>
      <c r="C47" s="154"/>
      <c r="D47" s="149" t="str">
        <f t="shared" si="0"/>
        <v/>
      </c>
      <c r="E47" s="201"/>
      <c r="F47" s="149" t="str">
        <f t="shared" si="2"/>
        <v/>
      </c>
      <c r="G47" s="198"/>
      <c r="H47" s="198"/>
      <c r="I47" s="198"/>
      <c r="J47" s="226"/>
      <c r="K47" s="225"/>
      <c r="L47" s="225"/>
      <c r="M47" s="226"/>
      <c r="N47" s="226"/>
      <c r="P47" s="144" t="str">
        <f t="shared" si="3"/>
        <v/>
      </c>
      <c r="Q47" s="144" t="str">
        <f t="shared" si="4"/>
        <v/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995</v>
      </c>
      <c r="AB47" s="144" t="s">
        <v>996</v>
      </c>
    </row>
    <row r="48" spans="1:28">
      <c r="A48" s="154"/>
      <c r="B48" s="149" t="str">
        <f t="shared" si="1"/>
        <v/>
      </c>
      <c r="C48" s="154"/>
      <c r="D48" s="149" t="str">
        <f t="shared" si="0"/>
        <v/>
      </c>
      <c r="E48" s="201"/>
      <c r="F48" s="149" t="str">
        <f t="shared" si="2"/>
        <v/>
      </c>
      <c r="G48" s="198"/>
      <c r="H48" s="198"/>
      <c r="I48" s="198"/>
      <c r="J48" s="226"/>
      <c r="K48" s="225"/>
      <c r="L48" s="225"/>
      <c r="M48" s="226"/>
      <c r="N48" s="226"/>
      <c r="P48" s="144" t="str">
        <f t="shared" si="3"/>
        <v/>
      </c>
      <c r="Q48" s="144" t="str">
        <f t="shared" si="4"/>
        <v/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997</v>
      </c>
      <c r="AB48" s="144" t="s">
        <v>998</v>
      </c>
    </row>
    <row r="49" spans="1:28">
      <c r="A49" s="154"/>
      <c r="B49" s="149" t="str">
        <f t="shared" si="1"/>
        <v/>
      </c>
      <c r="C49" s="154"/>
      <c r="D49" s="149" t="str">
        <f t="shared" si="0"/>
        <v/>
      </c>
      <c r="E49" s="201"/>
      <c r="F49" s="149" t="str">
        <f t="shared" si="2"/>
        <v/>
      </c>
      <c r="G49" s="198"/>
      <c r="H49" s="198"/>
      <c r="I49" s="198"/>
      <c r="J49" s="226"/>
      <c r="K49" s="225"/>
      <c r="L49" s="225"/>
      <c r="M49" s="226"/>
      <c r="N49" s="226"/>
      <c r="P49" s="144" t="str">
        <f t="shared" si="3"/>
        <v/>
      </c>
      <c r="Q49" s="144" t="str">
        <f t="shared" si="4"/>
        <v/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999</v>
      </c>
      <c r="AB49" s="144" t="s">
        <v>1000</v>
      </c>
    </row>
    <row r="50" spans="1:28">
      <c r="A50" s="154"/>
      <c r="B50" s="149" t="str">
        <f t="shared" si="1"/>
        <v/>
      </c>
      <c r="C50" s="154"/>
      <c r="D50" s="149" t="str">
        <f t="shared" si="0"/>
        <v/>
      </c>
      <c r="E50" s="201"/>
      <c r="F50" s="149" t="str">
        <f t="shared" si="2"/>
        <v/>
      </c>
      <c r="G50" s="198"/>
      <c r="H50" s="198"/>
      <c r="I50" s="198"/>
      <c r="J50" s="226"/>
      <c r="K50" s="225"/>
      <c r="L50" s="225"/>
      <c r="M50" s="226"/>
      <c r="N50" s="226"/>
      <c r="P50" s="144" t="str">
        <f t="shared" si="3"/>
        <v/>
      </c>
      <c r="Q50" s="144" t="str">
        <f t="shared" si="4"/>
        <v/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1001</v>
      </c>
      <c r="AB50" s="144" t="s">
        <v>1002</v>
      </c>
    </row>
    <row r="51" spans="1:28">
      <c r="A51" s="154"/>
      <c r="B51" s="149" t="str">
        <f t="shared" si="1"/>
        <v/>
      </c>
      <c r="C51" s="154"/>
      <c r="D51" s="149" t="str">
        <f t="shared" si="0"/>
        <v/>
      </c>
      <c r="E51" s="201"/>
      <c r="F51" s="149" t="str">
        <f t="shared" si="2"/>
        <v/>
      </c>
      <c r="G51" s="198"/>
      <c r="H51" s="198"/>
      <c r="I51" s="198"/>
      <c r="J51" s="226"/>
      <c r="K51" s="225"/>
      <c r="L51" s="225"/>
      <c r="M51" s="226"/>
      <c r="N51" s="226"/>
      <c r="P51" s="144" t="str">
        <f t="shared" si="3"/>
        <v/>
      </c>
      <c r="Q51" s="144" t="str">
        <f t="shared" si="4"/>
        <v/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1003</v>
      </c>
      <c r="AB51" s="144" t="s">
        <v>1004</v>
      </c>
    </row>
    <row r="52" spans="1:28">
      <c r="A52" s="154"/>
      <c r="B52" s="149" t="str">
        <f t="shared" si="1"/>
        <v/>
      </c>
      <c r="C52" s="154"/>
      <c r="D52" s="149" t="str">
        <f t="shared" si="0"/>
        <v/>
      </c>
      <c r="E52" s="201"/>
      <c r="F52" s="149" t="str">
        <f t="shared" si="2"/>
        <v/>
      </c>
      <c r="G52" s="198"/>
      <c r="H52" s="198"/>
      <c r="I52" s="198"/>
      <c r="J52" s="226"/>
      <c r="K52" s="225"/>
      <c r="L52" s="225"/>
      <c r="M52" s="226"/>
      <c r="N52" s="226"/>
      <c r="P52" s="144" t="str">
        <f t="shared" si="3"/>
        <v/>
      </c>
      <c r="Q52" s="144" t="str">
        <f t="shared" si="4"/>
        <v/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1005</v>
      </c>
      <c r="AB52" s="144" t="s">
        <v>1006</v>
      </c>
    </row>
    <row r="53" spans="1:28">
      <c r="A53" s="154"/>
      <c r="B53" s="149" t="str">
        <f t="shared" si="1"/>
        <v/>
      </c>
      <c r="C53" s="154"/>
      <c r="D53" s="149" t="str">
        <f t="shared" si="0"/>
        <v/>
      </c>
      <c r="E53" s="201"/>
      <c r="F53" s="149" t="str">
        <f t="shared" si="2"/>
        <v/>
      </c>
      <c r="G53" s="198"/>
      <c r="H53" s="198"/>
      <c r="I53" s="198"/>
      <c r="J53" s="226"/>
      <c r="K53" s="225"/>
      <c r="L53" s="225"/>
      <c r="M53" s="226"/>
      <c r="N53" s="226"/>
      <c r="P53" s="144" t="str">
        <f t="shared" si="3"/>
        <v/>
      </c>
      <c r="Q53" s="144" t="str">
        <f t="shared" si="4"/>
        <v/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1007</v>
      </c>
      <c r="AB53" s="144" t="s">
        <v>1008</v>
      </c>
    </row>
    <row r="54" spans="1:28">
      <c r="A54" s="154"/>
      <c r="B54" s="149" t="str">
        <f t="shared" si="1"/>
        <v/>
      </c>
      <c r="C54" s="154"/>
      <c r="D54" s="149" t="str">
        <f t="shared" si="0"/>
        <v/>
      </c>
      <c r="E54" s="201"/>
      <c r="F54" s="149" t="str">
        <f t="shared" si="2"/>
        <v/>
      </c>
      <c r="G54" s="198"/>
      <c r="H54" s="198"/>
      <c r="I54" s="198"/>
      <c r="J54" s="226"/>
      <c r="K54" s="225"/>
      <c r="L54" s="225"/>
      <c r="M54" s="226"/>
      <c r="N54" s="226"/>
      <c r="P54" s="144" t="str">
        <f t="shared" si="3"/>
        <v/>
      </c>
      <c r="Q54" s="144" t="str">
        <f t="shared" si="4"/>
        <v/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1009</v>
      </c>
      <c r="AB54" s="144" t="s">
        <v>1010</v>
      </c>
    </row>
    <row r="55" spans="1:28">
      <c r="A55" s="154"/>
      <c r="B55" s="149" t="str">
        <f t="shared" si="1"/>
        <v/>
      </c>
      <c r="C55" s="154"/>
      <c r="D55" s="149" t="str">
        <f t="shared" si="0"/>
        <v/>
      </c>
      <c r="E55" s="201"/>
      <c r="F55" s="149" t="str">
        <f t="shared" si="2"/>
        <v/>
      </c>
      <c r="G55" s="198"/>
      <c r="H55" s="198"/>
      <c r="I55" s="198"/>
      <c r="J55" s="226"/>
      <c r="K55" s="225"/>
      <c r="L55" s="225"/>
      <c r="M55" s="226"/>
      <c r="N55" s="226"/>
      <c r="P55" s="144" t="str">
        <f t="shared" si="3"/>
        <v/>
      </c>
      <c r="Q55" s="144" t="str">
        <f t="shared" si="4"/>
        <v/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1011</v>
      </c>
      <c r="AB55" s="144" t="s">
        <v>1012</v>
      </c>
    </row>
    <row r="56" spans="1:28">
      <c r="A56" s="154"/>
      <c r="B56" s="149" t="str">
        <f t="shared" si="1"/>
        <v/>
      </c>
      <c r="C56" s="154"/>
      <c r="D56" s="149" t="str">
        <f t="shared" si="0"/>
        <v/>
      </c>
      <c r="E56" s="201"/>
      <c r="F56" s="149" t="str">
        <f t="shared" si="2"/>
        <v/>
      </c>
      <c r="G56" s="198"/>
      <c r="H56" s="198"/>
      <c r="I56" s="198"/>
      <c r="J56" s="226"/>
      <c r="K56" s="225"/>
      <c r="L56" s="225"/>
      <c r="M56" s="226"/>
      <c r="N56" s="226"/>
      <c r="P56" s="144" t="str">
        <f t="shared" si="3"/>
        <v/>
      </c>
      <c r="Q56" s="144" t="str">
        <f t="shared" si="4"/>
        <v/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1013</v>
      </c>
      <c r="AB56" s="144" t="s">
        <v>1014</v>
      </c>
    </row>
    <row r="57" spans="1:28">
      <c r="A57" s="154"/>
      <c r="B57" s="149" t="str">
        <f t="shared" si="1"/>
        <v/>
      </c>
      <c r="C57" s="154"/>
      <c r="D57" s="149" t="str">
        <f t="shared" si="0"/>
        <v/>
      </c>
      <c r="E57" s="201"/>
      <c r="F57" s="149" t="str">
        <f t="shared" si="2"/>
        <v/>
      </c>
      <c r="G57" s="198"/>
      <c r="H57" s="198"/>
      <c r="I57" s="198"/>
      <c r="J57" s="226"/>
      <c r="K57" s="225"/>
      <c r="L57" s="225"/>
      <c r="M57" s="226"/>
      <c r="N57" s="226"/>
      <c r="P57" s="144" t="str">
        <f t="shared" si="3"/>
        <v/>
      </c>
      <c r="Q57" s="144" t="str">
        <f t="shared" si="4"/>
        <v/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1015</v>
      </c>
      <c r="AB57" s="144" t="s">
        <v>1016</v>
      </c>
    </row>
    <row r="58" spans="1:28">
      <c r="A58" s="154"/>
      <c r="B58" s="149" t="str">
        <f t="shared" si="1"/>
        <v/>
      </c>
      <c r="C58" s="154"/>
      <c r="D58" s="149" t="str">
        <f t="shared" si="0"/>
        <v/>
      </c>
      <c r="E58" s="201"/>
      <c r="F58" s="149" t="str">
        <f t="shared" si="2"/>
        <v/>
      </c>
      <c r="G58" s="198"/>
      <c r="H58" s="198"/>
      <c r="I58" s="198"/>
      <c r="J58" s="226"/>
      <c r="K58" s="225"/>
      <c r="L58" s="225"/>
      <c r="M58" s="226"/>
      <c r="N58" s="226"/>
      <c r="P58" s="144" t="str">
        <f t="shared" si="3"/>
        <v/>
      </c>
      <c r="Q58" s="144" t="str">
        <f t="shared" si="4"/>
        <v/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880</v>
      </c>
    </row>
    <row r="59" spans="1:28">
      <c r="A59" s="154"/>
      <c r="B59" s="149" t="str">
        <f t="shared" si="1"/>
        <v/>
      </c>
      <c r="C59" s="154"/>
      <c r="D59" s="149" t="str">
        <f t="shared" si="0"/>
        <v/>
      </c>
      <c r="E59" s="201"/>
      <c r="F59" s="149" t="str">
        <f t="shared" si="2"/>
        <v/>
      </c>
      <c r="G59" s="198"/>
      <c r="H59" s="198"/>
      <c r="I59" s="198"/>
      <c r="J59" s="226"/>
      <c r="K59" s="225"/>
      <c r="L59" s="225"/>
      <c r="M59" s="226"/>
      <c r="N59" s="226"/>
      <c r="P59" s="144" t="str">
        <f t="shared" si="3"/>
        <v/>
      </c>
      <c r="Q59" s="144" t="str">
        <f t="shared" si="4"/>
        <v/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1017</v>
      </c>
      <c r="AB59" s="144" t="s">
        <v>1018</v>
      </c>
    </row>
    <row r="60" spans="1:28">
      <c r="A60" s="154"/>
      <c r="B60" s="149" t="str">
        <f t="shared" si="1"/>
        <v/>
      </c>
      <c r="C60" s="154"/>
      <c r="D60" s="149" t="str">
        <f t="shared" si="0"/>
        <v/>
      </c>
      <c r="E60" s="201"/>
      <c r="F60" s="149" t="str">
        <f t="shared" si="2"/>
        <v/>
      </c>
      <c r="G60" s="198"/>
      <c r="H60" s="198"/>
      <c r="I60" s="198"/>
      <c r="J60" s="226"/>
      <c r="K60" s="225"/>
      <c r="L60" s="225"/>
      <c r="M60" s="226"/>
      <c r="N60" s="226"/>
      <c r="P60" s="144" t="str">
        <f t="shared" si="3"/>
        <v/>
      </c>
      <c r="Q60" s="144" t="str">
        <f t="shared" si="4"/>
        <v/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1019</v>
      </c>
      <c r="AB60" s="144" t="s">
        <v>1020</v>
      </c>
    </row>
    <row r="61" spans="1:28">
      <c r="A61" s="154"/>
      <c r="B61" s="149" t="str">
        <f t="shared" si="1"/>
        <v/>
      </c>
      <c r="C61" s="154"/>
      <c r="D61" s="149" t="str">
        <f t="shared" si="0"/>
        <v/>
      </c>
      <c r="E61" s="201"/>
      <c r="F61" s="149" t="str">
        <f t="shared" si="2"/>
        <v/>
      </c>
      <c r="G61" s="198"/>
      <c r="H61" s="198"/>
      <c r="I61" s="198"/>
      <c r="J61" s="226"/>
      <c r="K61" s="225"/>
      <c r="L61" s="225"/>
      <c r="M61" s="226"/>
      <c r="N61" s="226"/>
      <c r="P61" s="144" t="str">
        <f t="shared" si="3"/>
        <v/>
      </c>
      <c r="Q61" s="144" t="str">
        <f t="shared" si="4"/>
        <v/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1021</v>
      </c>
      <c r="AB61" s="144" t="s">
        <v>1022</v>
      </c>
    </row>
    <row r="62" spans="1:28">
      <c r="A62" s="154"/>
      <c r="B62" s="149" t="str">
        <f t="shared" si="1"/>
        <v/>
      </c>
      <c r="C62" s="154"/>
      <c r="D62" s="149" t="str">
        <f t="shared" si="0"/>
        <v/>
      </c>
      <c r="E62" s="201"/>
      <c r="F62" s="149" t="str">
        <f t="shared" si="2"/>
        <v/>
      </c>
      <c r="G62" s="198"/>
      <c r="H62" s="198"/>
      <c r="I62" s="198"/>
      <c r="J62" s="226"/>
      <c r="K62" s="225"/>
      <c r="L62" s="225"/>
      <c r="M62" s="226"/>
      <c r="N62" s="226"/>
      <c r="P62" s="144" t="str">
        <f t="shared" si="3"/>
        <v/>
      </c>
      <c r="Q62" s="144" t="str">
        <f t="shared" si="4"/>
        <v/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1023</v>
      </c>
      <c r="AB62" s="144" t="s">
        <v>1024</v>
      </c>
    </row>
    <row r="63" spans="1:28">
      <c r="A63" s="154"/>
      <c r="B63" s="149" t="str">
        <f t="shared" si="1"/>
        <v/>
      </c>
      <c r="C63" s="154"/>
      <c r="D63" s="149" t="str">
        <f t="shared" si="0"/>
        <v/>
      </c>
      <c r="E63" s="201"/>
      <c r="F63" s="149" t="str">
        <f t="shared" si="2"/>
        <v/>
      </c>
      <c r="G63" s="198"/>
      <c r="H63" s="198"/>
      <c r="I63" s="198"/>
      <c r="J63" s="226"/>
      <c r="K63" s="225"/>
      <c r="L63" s="225"/>
      <c r="M63" s="226"/>
      <c r="N63" s="226"/>
      <c r="P63" s="144" t="str">
        <f t="shared" si="3"/>
        <v/>
      </c>
      <c r="Q63" s="144" t="str">
        <f t="shared" si="4"/>
        <v/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1025</v>
      </c>
      <c r="AB63" s="144" t="s">
        <v>1026</v>
      </c>
    </row>
    <row r="64" spans="1:28">
      <c r="A64" s="154"/>
      <c r="B64" s="149" t="str">
        <f t="shared" si="1"/>
        <v/>
      </c>
      <c r="C64" s="154"/>
      <c r="D64" s="149" t="str">
        <f t="shared" si="0"/>
        <v/>
      </c>
      <c r="E64" s="201"/>
      <c r="F64" s="149" t="str">
        <f t="shared" si="2"/>
        <v/>
      </c>
      <c r="G64" s="198"/>
      <c r="H64" s="198"/>
      <c r="I64" s="198"/>
      <c r="J64" s="226"/>
      <c r="K64" s="225"/>
      <c r="L64" s="225"/>
      <c r="M64" s="226"/>
      <c r="N64" s="226"/>
      <c r="P64" s="144" t="str">
        <f t="shared" si="3"/>
        <v/>
      </c>
      <c r="Q64" s="144" t="str">
        <f t="shared" si="4"/>
        <v/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1027</v>
      </c>
      <c r="AB64" s="144" t="s">
        <v>1028</v>
      </c>
    </row>
    <row r="65" spans="1:28">
      <c r="A65" s="154"/>
      <c r="B65" s="149" t="str">
        <f t="shared" si="1"/>
        <v/>
      </c>
      <c r="C65" s="154"/>
      <c r="D65" s="149" t="str">
        <f t="shared" si="0"/>
        <v/>
      </c>
      <c r="E65" s="201"/>
      <c r="F65" s="149" t="str">
        <f t="shared" si="2"/>
        <v/>
      </c>
      <c r="G65" s="198"/>
      <c r="H65" s="198"/>
      <c r="I65" s="198"/>
      <c r="J65" s="226"/>
      <c r="K65" s="225"/>
      <c r="L65" s="225"/>
      <c r="M65" s="226"/>
      <c r="N65" s="226"/>
      <c r="P65" s="144" t="str">
        <f t="shared" si="3"/>
        <v/>
      </c>
      <c r="Q65" s="144" t="str">
        <f t="shared" si="4"/>
        <v/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1029</v>
      </c>
      <c r="AB65" s="144" t="s">
        <v>1030</v>
      </c>
    </row>
    <row r="66" spans="1:28">
      <c r="A66" s="154"/>
      <c r="B66" s="149" t="str">
        <f t="shared" si="1"/>
        <v/>
      </c>
      <c r="C66" s="154"/>
      <c r="D66" s="149" t="str">
        <f t="shared" si="0"/>
        <v/>
      </c>
      <c r="E66" s="201"/>
      <c r="F66" s="149" t="str">
        <f t="shared" si="2"/>
        <v/>
      </c>
      <c r="G66" s="198"/>
      <c r="H66" s="198"/>
      <c r="I66" s="198"/>
      <c r="J66" s="226"/>
      <c r="K66" s="225"/>
      <c r="L66" s="225"/>
      <c r="M66" s="226"/>
      <c r="N66" s="226"/>
      <c r="P66" s="144" t="str">
        <f t="shared" si="3"/>
        <v/>
      </c>
      <c r="Q66" s="144" t="str">
        <f t="shared" si="4"/>
        <v/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1031</v>
      </c>
      <c r="AB66" s="144" t="s">
        <v>1032</v>
      </c>
    </row>
    <row r="67" spans="1:28">
      <c r="A67" s="154"/>
      <c r="B67" s="149" t="str">
        <f t="shared" si="1"/>
        <v/>
      </c>
      <c r="C67" s="154"/>
      <c r="D67" s="149" t="str">
        <f t="shared" ref="D67:D130" si="7">IFERROR(VLOOKUP(C67,$U$5:$W$129,2,FALSE),"")</f>
        <v/>
      </c>
      <c r="E67" s="201"/>
      <c r="F67" s="149" t="str">
        <f t="shared" si="2"/>
        <v/>
      </c>
      <c r="G67" s="198"/>
      <c r="H67" s="198"/>
      <c r="I67" s="198"/>
      <c r="J67" s="226"/>
      <c r="K67" s="225"/>
      <c r="L67" s="225"/>
      <c r="M67" s="226"/>
      <c r="N67" s="226"/>
      <c r="P67" s="144" t="str">
        <f t="shared" si="3"/>
        <v/>
      </c>
      <c r="Q67" s="144" t="str">
        <f t="shared" si="4"/>
        <v/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1033</v>
      </c>
      <c r="AB67" s="144" t="s">
        <v>1034</v>
      </c>
    </row>
    <row r="68" spans="1:28">
      <c r="A68" s="154"/>
      <c r="B68" s="149" t="str">
        <f t="shared" ref="B68:B131" si="8">IFERROR(VLOOKUP(A68,$R$6:$S$16,2,FALSE),"")</f>
        <v/>
      </c>
      <c r="C68" s="154"/>
      <c r="D68" s="149" t="str">
        <f t="shared" si="7"/>
        <v/>
      </c>
      <c r="E68" s="201"/>
      <c r="F68" s="149" t="str">
        <f t="shared" ref="F68:F131" si="9">IFERROR(VLOOKUP(E68,$AA$6:$AB$200,2,FALSE),"")</f>
        <v/>
      </c>
      <c r="G68" s="198"/>
      <c r="H68" s="198"/>
      <c r="I68" s="198"/>
      <c r="J68" s="226"/>
      <c r="K68" s="225"/>
      <c r="L68" s="225"/>
      <c r="M68" s="226"/>
      <c r="N68" s="226"/>
      <c r="P68" s="144" t="str">
        <f t="shared" ref="P68:P131" si="10">LEFT(C68,3)</f>
        <v/>
      </c>
      <c r="Q68" s="144" t="str">
        <f t="shared" ref="Q68:Q131" si="11">LEFT(C68,2)</f>
        <v/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1035</v>
      </c>
      <c r="AB68" s="144" t="s">
        <v>1036</v>
      </c>
    </row>
    <row r="69" spans="1:28">
      <c r="A69" s="154"/>
      <c r="B69" s="149" t="str">
        <f t="shared" si="8"/>
        <v/>
      </c>
      <c r="C69" s="154"/>
      <c r="D69" s="149" t="str">
        <f t="shared" si="7"/>
        <v/>
      </c>
      <c r="E69" s="201"/>
      <c r="F69" s="149" t="str">
        <f t="shared" si="9"/>
        <v/>
      </c>
      <c r="G69" s="198"/>
      <c r="H69" s="198"/>
      <c r="I69" s="198"/>
      <c r="J69" s="226"/>
      <c r="K69" s="225"/>
      <c r="L69" s="225"/>
      <c r="M69" s="226"/>
      <c r="N69" s="226"/>
      <c r="P69" s="144" t="str">
        <f t="shared" si="10"/>
        <v/>
      </c>
      <c r="Q69" s="144" t="str">
        <f t="shared" si="11"/>
        <v/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1037</v>
      </c>
      <c r="AB69" s="144" t="s">
        <v>1038</v>
      </c>
    </row>
    <row r="70" spans="1:28">
      <c r="A70" s="154"/>
      <c r="B70" s="149" t="str">
        <f t="shared" si="8"/>
        <v/>
      </c>
      <c r="C70" s="154"/>
      <c r="D70" s="149" t="str">
        <f t="shared" si="7"/>
        <v/>
      </c>
      <c r="E70" s="201"/>
      <c r="F70" s="149" t="str">
        <f t="shared" si="9"/>
        <v/>
      </c>
      <c r="G70" s="198"/>
      <c r="H70" s="198"/>
      <c r="I70" s="198"/>
      <c r="J70" s="226"/>
      <c r="K70" s="225"/>
      <c r="L70" s="225"/>
      <c r="M70" s="226"/>
      <c r="N70" s="226"/>
      <c r="P70" s="144" t="str">
        <f t="shared" si="10"/>
        <v/>
      </c>
      <c r="Q70" s="144" t="str">
        <f t="shared" si="11"/>
        <v/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1039</v>
      </c>
      <c r="AB70" s="144" t="s">
        <v>1040</v>
      </c>
    </row>
    <row r="71" spans="1:28">
      <c r="A71" s="154"/>
      <c r="B71" s="149" t="str">
        <f t="shared" si="8"/>
        <v/>
      </c>
      <c r="C71" s="154"/>
      <c r="D71" s="149" t="str">
        <f t="shared" si="7"/>
        <v/>
      </c>
      <c r="E71" s="201"/>
      <c r="F71" s="149" t="str">
        <f t="shared" si="9"/>
        <v/>
      </c>
      <c r="G71" s="198"/>
      <c r="H71" s="198"/>
      <c r="I71" s="198"/>
      <c r="J71" s="226"/>
      <c r="K71" s="225"/>
      <c r="L71" s="225"/>
      <c r="M71" s="226"/>
      <c r="N71" s="226"/>
      <c r="P71" s="144" t="str">
        <f t="shared" si="10"/>
        <v/>
      </c>
      <c r="Q71" s="144" t="str">
        <f t="shared" si="11"/>
        <v/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1041</v>
      </c>
      <c r="AB71" s="144" t="s">
        <v>1042</v>
      </c>
    </row>
    <row r="72" spans="1:28">
      <c r="A72" s="154"/>
      <c r="B72" s="149" t="str">
        <f t="shared" si="8"/>
        <v/>
      </c>
      <c r="C72" s="154"/>
      <c r="D72" s="149" t="str">
        <f t="shared" si="7"/>
        <v/>
      </c>
      <c r="E72" s="201"/>
      <c r="F72" s="149" t="str">
        <f t="shared" si="9"/>
        <v/>
      </c>
      <c r="G72" s="198"/>
      <c r="H72" s="198"/>
      <c r="I72" s="198"/>
      <c r="J72" s="226"/>
      <c r="K72" s="225"/>
      <c r="L72" s="225"/>
      <c r="M72" s="226"/>
      <c r="N72" s="226"/>
      <c r="P72" s="144" t="str">
        <f t="shared" si="10"/>
        <v/>
      </c>
      <c r="Q72" s="144" t="str">
        <f t="shared" si="11"/>
        <v/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1043</v>
      </c>
      <c r="AB72" s="144" t="s">
        <v>1044</v>
      </c>
    </row>
    <row r="73" spans="1:28">
      <c r="A73" s="154"/>
      <c r="B73" s="149" t="str">
        <f t="shared" si="8"/>
        <v/>
      </c>
      <c r="C73" s="154"/>
      <c r="D73" s="149" t="str">
        <f t="shared" si="7"/>
        <v/>
      </c>
      <c r="E73" s="201"/>
      <c r="F73" s="149" t="str">
        <f t="shared" si="9"/>
        <v/>
      </c>
      <c r="G73" s="198"/>
      <c r="H73" s="198"/>
      <c r="I73" s="198"/>
      <c r="J73" s="226"/>
      <c r="K73" s="225"/>
      <c r="L73" s="225"/>
      <c r="M73" s="226"/>
      <c r="N73" s="226"/>
      <c r="P73" s="144" t="str">
        <f t="shared" si="10"/>
        <v/>
      </c>
      <c r="Q73" s="144" t="str">
        <f t="shared" si="11"/>
        <v/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1045</v>
      </c>
      <c r="AB73" s="144" t="s">
        <v>1046</v>
      </c>
    </row>
    <row r="74" spans="1:28">
      <c r="A74" s="154"/>
      <c r="B74" s="149" t="str">
        <f t="shared" si="8"/>
        <v/>
      </c>
      <c r="C74" s="154"/>
      <c r="D74" s="149" t="str">
        <f t="shared" si="7"/>
        <v/>
      </c>
      <c r="E74" s="201"/>
      <c r="F74" s="149" t="str">
        <f t="shared" si="9"/>
        <v/>
      </c>
      <c r="G74" s="198"/>
      <c r="H74" s="198"/>
      <c r="I74" s="198"/>
      <c r="J74" s="226"/>
      <c r="K74" s="225"/>
      <c r="L74" s="225"/>
      <c r="M74" s="226"/>
      <c r="N74" s="226"/>
      <c r="P74" s="144" t="str">
        <f t="shared" si="10"/>
        <v/>
      </c>
      <c r="Q74" s="144" t="str">
        <f t="shared" si="11"/>
        <v/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1047</v>
      </c>
      <c r="AB74" s="144" t="s">
        <v>1048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201"/>
      <c r="F75" s="149" t="str">
        <f t="shared" si="9"/>
        <v/>
      </c>
      <c r="G75" s="198"/>
      <c r="H75" s="198"/>
      <c r="I75" s="198"/>
      <c r="J75" s="226"/>
      <c r="K75" s="225"/>
      <c r="L75" s="225"/>
      <c r="M75" s="226"/>
      <c r="N75" s="22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1049</v>
      </c>
      <c r="AB75" s="144" t="s">
        <v>1050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201"/>
      <c r="F76" s="149" t="str">
        <f t="shared" si="9"/>
        <v/>
      </c>
      <c r="G76" s="198"/>
      <c r="H76" s="198"/>
      <c r="I76" s="198"/>
      <c r="J76" s="226"/>
      <c r="K76" s="225"/>
      <c r="L76" s="225"/>
      <c r="M76" s="226"/>
      <c r="N76" s="22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1051</v>
      </c>
      <c r="AB76" s="144" t="s">
        <v>1052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1053</v>
      </c>
      <c r="AB77" s="144" t="s">
        <v>1054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1055</v>
      </c>
      <c r="AB78" s="144" t="s">
        <v>1056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1057</v>
      </c>
      <c r="AB79" s="144" t="s">
        <v>1058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1059</v>
      </c>
      <c r="AB80" s="144" t="s">
        <v>1060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850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1061</v>
      </c>
      <c r="AB81" s="144" t="s">
        <v>1062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851</v>
      </c>
      <c r="X82" s="144" t="str">
        <f t="shared" si="12"/>
        <v>38</v>
      </c>
      <c r="Y82" s="144" t="str">
        <f t="shared" si="13"/>
        <v>386</v>
      </c>
      <c r="AA82" s="144" t="s">
        <v>1063</v>
      </c>
      <c r="AB82" s="144" t="s">
        <v>1064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852</v>
      </c>
      <c r="X83" s="144" t="str">
        <f t="shared" si="12"/>
        <v>38</v>
      </c>
      <c r="Y83" s="144" t="str">
        <f t="shared" si="13"/>
        <v>386</v>
      </c>
      <c r="AA83" s="144" t="s">
        <v>1065</v>
      </c>
      <c r="AB83" s="144" t="s">
        <v>1066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1067</v>
      </c>
      <c r="AB84" s="144" t="s">
        <v>1068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1069</v>
      </c>
      <c r="AB85" s="144" t="s">
        <v>1070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1071</v>
      </c>
      <c r="AB86" s="144" t="s">
        <v>1072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1073</v>
      </c>
      <c r="AB87" s="144" t="s">
        <v>1072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1074</v>
      </c>
      <c r="AB88" s="144" t="s">
        <v>1075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1076</v>
      </c>
      <c r="AB89" s="144" t="s">
        <v>1077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1078</v>
      </c>
      <c r="AB90" s="144" t="s">
        <v>1075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1079</v>
      </c>
      <c r="AB91" s="144" t="s">
        <v>1080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1081</v>
      </c>
      <c r="AB92" s="144" t="s">
        <v>1082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1083</v>
      </c>
      <c r="AB93" s="144" t="s">
        <v>1084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1085</v>
      </c>
      <c r="AB94" s="144" t="s">
        <v>1086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1087</v>
      </c>
      <c r="AB95" s="144" t="s">
        <v>1088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1089</v>
      </c>
      <c r="AB96" s="144" t="s">
        <v>1090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1091</v>
      </c>
      <c r="AB97" s="144" t="s">
        <v>1092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1093</v>
      </c>
      <c r="AB98" s="144" t="s">
        <v>1094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1095</v>
      </c>
      <c r="AB99" s="144" t="s">
        <v>1096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1097</v>
      </c>
      <c r="AB100" s="144" t="s">
        <v>1098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1099</v>
      </c>
      <c r="AB101" s="144" t="s">
        <v>1100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1101</v>
      </c>
      <c r="AB102" s="144" t="s">
        <v>1102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1103</v>
      </c>
      <c r="AB103" s="144" t="s">
        <v>1104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1105</v>
      </c>
      <c r="AB104" s="144" t="s">
        <v>1106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1107</v>
      </c>
      <c r="AB105" s="144" t="s">
        <v>1108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1109</v>
      </c>
      <c r="AB106" s="144" t="s">
        <v>1110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1111</v>
      </c>
      <c r="AB107" s="144" t="s">
        <v>1112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1113</v>
      </c>
      <c r="AB108" s="144" t="s">
        <v>1114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1115</v>
      </c>
      <c r="AB109" s="144" t="s">
        <v>1116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1117</v>
      </c>
      <c r="AB110" s="144" t="s">
        <v>1118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1119</v>
      </c>
      <c r="AB111" s="144" t="s">
        <v>1120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1121</v>
      </c>
      <c r="AB112" s="144" t="s">
        <v>1122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1123</v>
      </c>
      <c r="AB113" s="144" t="s">
        <v>1124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1125</v>
      </c>
      <c r="AB114" s="144" t="s">
        <v>1126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1127</v>
      </c>
      <c r="AB115" s="144" t="s">
        <v>1128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1129</v>
      </c>
      <c r="AB116" s="144" t="s">
        <v>1130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1131</v>
      </c>
      <c r="AB117" s="144" t="s">
        <v>1132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1133</v>
      </c>
      <c r="AB118" s="144" t="s">
        <v>1134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820</v>
      </c>
      <c r="X119" s="144" t="str">
        <f t="shared" si="12"/>
        <v>51</v>
      </c>
      <c r="Y119" s="144" t="str">
        <f t="shared" si="13"/>
        <v>512</v>
      </c>
      <c r="AA119" s="144" t="s">
        <v>1135</v>
      </c>
      <c r="AB119" s="144" t="s">
        <v>1136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821</v>
      </c>
      <c r="X120" s="144" t="str">
        <f t="shared" si="12"/>
        <v>51</v>
      </c>
      <c r="Y120" s="144" t="str">
        <f t="shared" si="13"/>
        <v>512</v>
      </c>
      <c r="AA120" s="144" t="s">
        <v>1137</v>
      </c>
      <c r="AB120" s="144" t="s">
        <v>1138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822</v>
      </c>
      <c r="X121" s="144" t="str">
        <f t="shared" si="12"/>
        <v>51</v>
      </c>
      <c r="Y121" s="144" t="str">
        <f t="shared" si="13"/>
        <v>514</v>
      </c>
      <c r="AA121" s="144" t="s">
        <v>1139</v>
      </c>
      <c r="AB121" s="144" t="s">
        <v>1140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823</v>
      </c>
      <c r="X122" s="144" t="str">
        <f t="shared" si="12"/>
        <v>51</v>
      </c>
      <c r="Y122" s="144" t="str">
        <f t="shared" si="13"/>
        <v>518</v>
      </c>
      <c r="AA122" s="144" t="s">
        <v>1141</v>
      </c>
      <c r="AB122" s="144" t="s">
        <v>1142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824</v>
      </c>
      <c r="X123" s="144" t="str">
        <f t="shared" si="12"/>
        <v>51</v>
      </c>
      <c r="Y123" s="144" t="str">
        <f t="shared" si="13"/>
        <v>518</v>
      </c>
      <c r="AA123" s="144" t="s">
        <v>1143</v>
      </c>
      <c r="AB123" s="144" t="s">
        <v>1144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825</v>
      </c>
      <c r="X124" s="144" t="str">
        <f t="shared" si="12"/>
        <v>54</v>
      </c>
      <c r="Y124" s="144" t="str">
        <f t="shared" si="13"/>
        <v>542</v>
      </c>
      <c r="AA124" s="144" t="s">
        <v>1145</v>
      </c>
      <c r="AB124" s="144" t="s">
        <v>1146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390</v>
      </c>
      <c r="X125" s="144" t="str">
        <f t="shared" si="12"/>
        <v>54</v>
      </c>
      <c r="Y125" s="144" t="str">
        <f t="shared" si="13"/>
        <v>543</v>
      </c>
      <c r="AA125" s="144" t="s">
        <v>1147</v>
      </c>
      <c r="AB125" s="144" t="s">
        <v>1148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826</v>
      </c>
      <c r="X126" s="144" t="str">
        <f t="shared" si="12"/>
        <v>54</v>
      </c>
      <c r="Y126" s="144" t="str">
        <f t="shared" si="13"/>
        <v>544</v>
      </c>
      <c r="AA126" s="144" t="s">
        <v>1149</v>
      </c>
      <c r="AB126" s="144" t="s">
        <v>1150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827</v>
      </c>
      <c r="X127" s="144" t="str">
        <f t="shared" si="12"/>
        <v>54</v>
      </c>
      <c r="Y127" s="144" t="str">
        <f t="shared" si="13"/>
        <v>544</v>
      </c>
      <c r="AA127" s="144" t="s">
        <v>1151</v>
      </c>
      <c r="AB127" s="144" t="s">
        <v>1152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828</v>
      </c>
      <c r="X128" s="144" t="str">
        <f t="shared" si="12"/>
        <v>54</v>
      </c>
      <c r="Y128" s="144" t="str">
        <f t="shared" si="13"/>
        <v>545</v>
      </c>
      <c r="AA128" s="144" t="s">
        <v>1153</v>
      </c>
      <c r="AB128" s="144" t="s">
        <v>1154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829</v>
      </c>
      <c r="X129" s="144" t="str">
        <f t="shared" si="12"/>
        <v>54</v>
      </c>
      <c r="Y129" s="144" t="str">
        <f t="shared" si="13"/>
        <v>547</v>
      </c>
      <c r="AA129" s="144" t="s">
        <v>1155</v>
      </c>
      <c r="AB129" s="144" t="s">
        <v>1156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1157</v>
      </c>
      <c r="AB130" s="144" t="s">
        <v>1158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1159</v>
      </c>
      <c r="AB131" s="144" t="s">
        <v>1160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1161</v>
      </c>
      <c r="AB132" s="144" t="s">
        <v>1162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1163</v>
      </c>
      <c r="AB133" s="144" t="s">
        <v>1164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1165</v>
      </c>
      <c r="AB134" s="144" t="s">
        <v>1166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1167</v>
      </c>
      <c r="AB135" s="144" t="s">
        <v>1168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1169</v>
      </c>
      <c r="AB136" s="144" t="s">
        <v>1170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1171</v>
      </c>
      <c r="AB137" s="144" t="s">
        <v>1172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1173</v>
      </c>
      <c r="AB138" s="144" t="s">
        <v>1174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1175</v>
      </c>
      <c r="AB139" s="144" t="s">
        <v>1176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1177</v>
      </c>
      <c r="AB140" s="144" t="s">
        <v>1178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1179</v>
      </c>
      <c r="AB141" s="144" t="s">
        <v>1180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1181</v>
      </c>
      <c r="AB142" s="144" t="s">
        <v>1182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1183</v>
      </c>
      <c r="AB143" s="144" t="s">
        <v>1184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1185</v>
      </c>
      <c r="AB144" s="144" t="s">
        <v>1186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1187</v>
      </c>
      <c r="AB145" s="144" t="s">
        <v>1188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1189</v>
      </c>
      <c r="AB146" s="144" t="s">
        <v>1190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1191</v>
      </c>
      <c r="AB147" s="144" t="s">
        <v>1192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1193</v>
      </c>
      <c r="AB148" s="144" t="s">
        <v>1194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1195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1196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1197</v>
      </c>
      <c r="AB151" s="144" t="s">
        <v>1198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1199</v>
      </c>
      <c r="AB152" s="144" t="s">
        <v>1200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1201</v>
      </c>
      <c r="AB153" s="144" t="s">
        <v>1202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1203</v>
      </c>
      <c r="AB154" s="144" t="s">
        <v>1204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1205</v>
      </c>
      <c r="AB155" s="144" t="s">
        <v>1206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1207</v>
      </c>
      <c r="AB156" s="144" t="s">
        <v>1208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1209</v>
      </c>
      <c r="AB157" s="144" t="s">
        <v>1210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1211</v>
      </c>
      <c r="AB158" s="144" t="s">
        <v>1212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1213</v>
      </c>
      <c r="AB159" s="144" t="s">
        <v>1214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1215</v>
      </c>
      <c r="AB160" s="144" t="s">
        <v>1216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1217</v>
      </c>
      <c r="AB161" s="144" t="s">
        <v>1218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1219</v>
      </c>
      <c r="AB162" s="144" t="s">
        <v>1220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1221</v>
      </c>
      <c r="AB163" s="144" t="s">
        <v>1222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1223</v>
      </c>
      <c r="AB164" s="144" t="s">
        <v>1224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1225</v>
      </c>
      <c r="AB165" s="144" t="s">
        <v>1226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1227</v>
      </c>
      <c r="AB166" s="144" t="s">
        <v>1228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1229</v>
      </c>
      <c r="AB167" s="144" t="s">
        <v>1230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1231</v>
      </c>
      <c r="AB168" s="144" t="s">
        <v>1232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1233</v>
      </c>
      <c r="AB169" s="144" t="s">
        <v>1234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1235</v>
      </c>
      <c r="AB170" s="144" t="s">
        <v>1236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1237</v>
      </c>
      <c r="AB171" s="144" t="s">
        <v>1238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1239</v>
      </c>
      <c r="AB172" s="144" t="s">
        <v>1240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1241</v>
      </c>
      <c r="AB173" s="144" t="s">
        <v>1242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1243</v>
      </c>
      <c r="AB174" s="144" t="s">
        <v>1244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1245</v>
      </c>
      <c r="AB175" s="144" t="s">
        <v>1246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1247</v>
      </c>
      <c r="AB176" s="144" t="s">
        <v>1248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1249</v>
      </c>
      <c r="AB177" s="144" t="s">
        <v>1250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1251</v>
      </c>
      <c r="AB178" s="144" t="s">
        <v>1252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1253</v>
      </c>
      <c r="AB179" s="144" t="s">
        <v>1254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1255</v>
      </c>
      <c r="AB180" s="144" t="s">
        <v>1256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1257</v>
      </c>
      <c r="AB181" s="144" t="s">
        <v>1258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1259</v>
      </c>
      <c r="AB182" s="144" t="s">
        <v>1260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1261</v>
      </c>
      <c r="AB183" s="144" t="s">
        <v>1262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1263</v>
      </c>
      <c r="AB184" s="144" t="s">
        <v>1264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1265</v>
      </c>
      <c r="AB185" s="144" t="s">
        <v>1266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1267</v>
      </c>
      <c r="AB186" s="144" t="s">
        <v>1268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1269</v>
      </c>
      <c r="AB187" s="144" t="s">
        <v>1270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1271</v>
      </c>
      <c r="AB188" s="144" t="s">
        <v>1272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1273</v>
      </c>
      <c r="AB189" s="144" t="s">
        <v>1274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1275</v>
      </c>
      <c r="AB190" s="144" t="s">
        <v>1276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1277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1278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1279</v>
      </c>
      <c r="AB193" s="144" t="s">
        <v>1280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1281</v>
      </c>
      <c r="AB194" s="144" t="s">
        <v>1198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topLeftCell="A166" workbookViewId="0">
      <selection activeCell="K180" sqref="K180"/>
    </sheetView>
  </sheetViews>
  <sheetFormatPr defaultRowHeight="15"/>
  <cols>
    <col min="1" max="1" width="15.140625" bestFit="1" customWidth="1"/>
    <col min="2" max="2" width="79.7109375" customWidth="1"/>
  </cols>
  <sheetData>
    <row r="1" spans="1:2">
      <c r="A1" s="232" t="s">
        <v>1282</v>
      </c>
      <c r="B1" s="233" t="s">
        <v>657</v>
      </c>
    </row>
    <row r="2" spans="1:2" s="240" customFormat="1" hidden="1">
      <c r="A2" s="238" t="s">
        <v>1318</v>
      </c>
      <c r="B2" s="239" t="s">
        <v>1319</v>
      </c>
    </row>
    <row r="3" spans="1:2" hidden="1">
      <c r="A3" s="230" t="s">
        <v>1314</v>
      </c>
      <c r="B3" s="231" t="s">
        <v>1315</v>
      </c>
    </row>
    <row r="4" spans="1:2" hidden="1">
      <c r="A4" s="234" t="s">
        <v>1316</v>
      </c>
      <c r="B4" s="235" t="s">
        <v>1317</v>
      </c>
    </row>
    <row r="5" spans="1:2" hidden="1">
      <c r="A5" s="236" t="s">
        <v>1320</v>
      </c>
      <c r="B5" s="237" t="s">
        <v>1321</v>
      </c>
    </row>
    <row r="6" spans="1:2" hidden="1">
      <c r="A6" s="236" t="s">
        <v>1322</v>
      </c>
      <c r="B6" s="237" t="s">
        <v>1323</v>
      </c>
    </row>
    <row r="7" spans="1:2" hidden="1">
      <c r="A7" s="236" t="s">
        <v>1324</v>
      </c>
      <c r="B7" s="237" t="s">
        <v>1325</v>
      </c>
    </row>
    <row r="8" spans="1:2" hidden="1">
      <c r="A8" s="236" t="s">
        <v>1326</v>
      </c>
      <c r="B8" s="237" t="s">
        <v>1327</v>
      </c>
    </row>
    <row r="9" spans="1:2" hidden="1">
      <c r="A9" s="236" t="s">
        <v>1328</v>
      </c>
      <c r="B9" s="237" t="s">
        <v>1329</v>
      </c>
    </row>
    <row r="10" spans="1:2" hidden="1">
      <c r="A10" s="236" t="s">
        <v>1330</v>
      </c>
      <c r="B10" s="237" t="s">
        <v>1331</v>
      </c>
    </row>
    <row r="11" spans="1:2" hidden="1">
      <c r="A11" s="236" t="s">
        <v>1332</v>
      </c>
      <c r="B11" s="237" t="s">
        <v>900</v>
      </c>
    </row>
    <row r="12" spans="1:2" hidden="1">
      <c r="A12" s="236" t="s">
        <v>1333</v>
      </c>
      <c r="B12" s="237" t="s">
        <v>898</v>
      </c>
    </row>
    <row r="13" spans="1:2" hidden="1">
      <c r="A13" s="236" t="s">
        <v>1334</v>
      </c>
      <c r="B13" s="237" t="s">
        <v>1335</v>
      </c>
    </row>
    <row r="14" spans="1:2" hidden="1">
      <c r="A14" s="234" t="s">
        <v>1336</v>
      </c>
      <c r="B14" s="235" t="s">
        <v>1337</v>
      </c>
    </row>
    <row r="15" spans="1:2" hidden="1">
      <c r="A15" s="236" t="s">
        <v>1338</v>
      </c>
      <c r="B15" s="237" t="s">
        <v>1339</v>
      </c>
    </row>
    <row r="16" spans="1:2" hidden="1">
      <c r="A16" s="234" t="s">
        <v>1306</v>
      </c>
      <c r="B16" s="235" t="s">
        <v>1307</v>
      </c>
    </row>
    <row r="17" spans="1:2" hidden="1">
      <c r="A17" s="236" t="s">
        <v>1340</v>
      </c>
      <c r="B17" s="237" t="s">
        <v>1341</v>
      </c>
    </row>
    <row r="18" spans="1:2" hidden="1">
      <c r="A18" s="236" t="s">
        <v>1342</v>
      </c>
      <c r="B18" s="237" t="s">
        <v>1343</v>
      </c>
    </row>
    <row r="19" spans="1:2" hidden="1">
      <c r="A19" s="236" t="s">
        <v>1344</v>
      </c>
      <c r="B19" s="237" t="s">
        <v>1345</v>
      </c>
    </row>
    <row r="20" spans="1:2" hidden="1">
      <c r="A20" s="236" t="s">
        <v>1346</v>
      </c>
      <c r="B20" s="237" t="s">
        <v>1347</v>
      </c>
    </row>
    <row r="21" spans="1:2" hidden="1">
      <c r="A21" s="236" t="s">
        <v>1348</v>
      </c>
      <c r="B21" s="237" t="s">
        <v>1349</v>
      </c>
    </row>
    <row r="22" spans="1:2" hidden="1">
      <c r="A22" s="236" t="s">
        <v>1350</v>
      </c>
      <c r="B22" s="237" t="s">
        <v>896</v>
      </c>
    </row>
    <row r="23" spans="1:2" hidden="1">
      <c r="A23" s="234" t="s">
        <v>1351</v>
      </c>
      <c r="B23" s="235" t="s">
        <v>1352</v>
      </c>
    </row>
    <row r="24" spans="1:2" hidden="1">
      <c r="A24" s="236" t="s">
        <v>1353</v>
      </c>
      <c r="B24" s="237" t="s">
        <v>1354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866</v>
      </c>
      <c r="B31" s="237" t="s">
        <v>867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870</v>
      </c>
      <c r="B36" s="237" t="s">
        <v>871</v>
      </c>
    </row>
    <row r="37" spans="1:2">
      <c r="A37" s="236" t="s">
        <v>1283</v>
      </c>
      <c r="B37" s="237" t="s">
        <v>1284</v>
      </c>
    </row>
    <row r="38" spans="1:2">
      <c r="A38" s="236" t="s">
        <v>1285</v>
      </c>
      <c r="B38" s="237" t="s">
        <v>1286</v>
      </c>
    </row>
    <row r="39" spans="1:2">
      <c r="A39" s="236" t="s">
        <v>864</v>
      </c>
      <c r="B39" s="237" t="s">
        <v>865</v>
      </c>
    </row>
    <row r="40" spans="1:2">
      <c r="A40" s="236" t="s">
        <v>111</v>
      </c>
      <c r="B40" s="237" t="s">
        <v>1287</v>
      </c>
    </row>
    <row r="41" spans="1:2">
      <c r="A41" s="236" t="s">
        <v>136</v>
      </c>
      <c r="B41" s="237" t="s">
        <v>1288</v>
      </c>
    </row>
    <row r="42" spans="1:2">
      <c r="A42" s="236" t="s">
        <v>142</v>
      </c>
      <c r="B42" s="237" t="s">
        <v>1289</v>
      </c>
    </row>
    <row r="43" spans="1:2">
      <c r="A43" s="236" t="s">
        <v>144</v>
      </c>
      <c r="B43" s="237" t="s">
        <v>1290</v>
      </c>
    </row>
    <row r="44" spans="1:2">
      <c r="A44" s="236" t="s">
        <v>150</v>
      </c>
      <c r="B44" s="237" t="s">
        <v>1291</v>
      </c>
    </row>
    <row r="45" spans="1:2">
      <c r="A45" s="236" t="s">
        <v>152</v>
      </c>
      <c r="B45" s="237" t="s">
        <v>1292</v>
      </c>
    </row>
    <row r="46" spans="1:2">
      <c r="A46" s="236" t="s">
        <v>154</v>
      </c>
      <c r="B46" s="237" t="s">
        <v>1293</v>
      </c>
    </row>
    <row r="47" spans="1:2">
      <c r="A47" s="236" t="s">
        <v>158</v>
      </c>
      <c r="B47" s="237" t="s">
        <v>1294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1295</v>
      </c>
    </row>
    <row r="50" spans="1:2">
      <c r="A50" s="236" t="s">
        <v>165</v>
      </c>
      <c r="B50" s="237" t="s">
        <v>1296</v>
      </c>
    </row>
    <row r="51" spans="1:2">
      <c r="A51" s="236" t="s">
        <v>194</v>
      </c>
      <c r="B51" s="237" t="s">
        <v>1297</v>
      </c>
    </row>
    <row r="52" spans="1:2">
      <c r="A52" s="236" t="s">
        <v>197</v>
      </c>
      <c r="B52" s="237" t="s">
        <v>1298</v>
      </c>
    </row>
    <row r="53" spans="1:2">
      <c r="A53" s="236" t="s">
        <v>200</v>
      </c>
      <c r="B53" s="237" t="s">
        <v>1299</v>
      </c>
    </row>
    <row r="54" spans="1:2">
      <c r="A54" s="236" t="s">
        <v>204</v>
      </c>
      <c r="B54" s="237" t="s">
        <v>1300</v>
      </c>
    </row>
    <row r="55" spans="1:2">
      <c r="A55" s="236" t="s">
        <v>205</v>
      </c>
      <c r="B55" s="237" t="s">
        <v>1301</v>
      </c>
    </row>
    <row r="56" spans="1:2">
      <c r="A56" s="236" t="s">
        <v>207</v>
      </c>
      <c r="B56" s="237" t="s">
        <v>1302</v>
      </c>
    </row>
    <row r="57" spans="1:2">
      <c r="A57" s="236" t="s">
        <v>213</v>
      </c>
      <c r="B57" s="237" t="s">
        <v>1303</v>
      </c>
    </row>
    <row r="58" spans="1:2">
      <c r="A58" s="236" t="s">
        <v>214</v>
      </c>
      <c r="B58" s="237" t="s">
        <v>1304</v>
      </c>
    </row>
    <row r="59" spans="1:2">
      <c r="A59" s="236" t="s">
        <v>862</v>
      </c>
      <c r="B59" s="237" t="s">
        <v>863</v>
      </c>
    </row>
    <row r="60" spans="1:2">
      <c r="A60" s="236" t="s">
        <v>1305</v>
      </c>
      <c r="B60" s="237" t="s">
        <v>511</v>
      </c>
    </row>
    <row r="61" spans="1:2">
      <c r="A61" s="236" t="s">
        <v>868</v>
      </c>
      <c r="B61" s="237" t="s">
        <v>869</v>
      </c>
    </row>
    <row r="62" spans="1:2">
      <c r="A62" s="236" t="s">
        <v>287</v>
      </c>
      <c r="B62" s="237" t="s">
        <v>896</v>
      </c>
    </row>
    <row r="63" spans="1:2">
      <c r="A63" s="236" t="s">
        <v>897</v>
      </c>
      <c r="B63" s="237" t="s">
        <v>898</v>
      </c>
    </row>
    <row r="64" spans="1:2">
      <c r="A64" s="236" t="s">
        <v>899</v>
      </c>
      <c r="B64" s="237" t="s">
        <v>900</v>
      </c>
    </row>
    <row r="65" spans="1:2">
      <c r="A65" s="234" t="s">
        <v>1306</v>
      </c>
      <c r="B65" s="235" t="s">
        <v>1307</v>
      </c>
    </row>
    <row r="66" spans="1:2">
      <c r="A66" s="236" t="s">
        <v>872</v>
      </c>
      <c r="B66" s="237" t="s">
        <v>873</v>
      </c>
    </row>
    <row r="67" spans="1:2">
      <c r="A67" s="230" t="s">
        <v>705</v>
      </c>
      <c r="B67" s="231" t="s">
        <v>1308</v>
      </c>
    </row>
    <row r="68" spans="1:2">
      <c r="A68" s="234" t="s">
        <v>1306</v>
      </c>
      <c r="B68" s="235" t="s">
        <v>1307</v>
      </c>
    </row>
    <row r="69" spans="1:2">
      <c r="A69" s="236" t="s">
        <v>901</v>
      </c>
      <c r="B69" s="237" t="s">
        <v>902</v>
      </c>
    </row>
    <row r="70" spans="1:2">
      <c r="A70" s="236" t="s">
        <v>903</v>
      </c>
      <c r="B70" s="237" t="s">
        <v>904</v>
      </c>
    </row>
    <row r="71" spans="1:2">
      <c r="A71" s="236" t="s">
        <v>1309</v>
      </c>
      <c r="B71" s="237" t="s">
        <v>1310</v>
      </c>
    </row>
    <row r="72" spans="1:2">
      <c r="A72" s="236" t="s">
        <v>905</v>
      </c>
      <c r="B72" s="237" t="s">
        <v>906</v>
      </c>
    </row>
    <row r="73" spans="1:2">
      <c r="A73" s="236" t="s">
        <v>1311</v>
      </c>
      <c r="B73" s="237" t="s">
        <v>1284</v>
      </c>
    </row>
    <row r="74" spans="1:2">
      <c r="A74" s="236" t="s">
        <v>907</v>
      </c>
      <c r="B74" s="237" t="s">
        <v>1312</v>
      </c>
    </row>
    <row r="75" spans="1:2">
      <c r="A75" s="236" t="s">
        <v>909</v>
      </c>
      <c r="B75" s="237" t="s">
        <v>1313</v>
      </c>
    </row>
    <row r="76" spans="1:2">
      <c r="A76" s="236" t="s">
        <v>911</v>
      </c>
      <c r="B76" s="237" t="s">
        <v>912</v>
      </c>
    </row>
    <row r="77" spans="1:2">
      <c r="A77" s="236" t="s">
        <v>913</v>
      </c>
      <c r="B77" s="237" t="s">
        <v>896</v>
      </c>
    </row>
    <row r="78" spans="1:2">
      <c r="A78" s="230" t="s">
        <v>1355</v>
      </c>
      <c r="B78" s="231" t="s">
        <v>1356</v>
      </c>
    </row>
    <row r="79" spans="1:2">
      <c r="A79" s="234" t="s">
        <v>1306</v>
      </c>
      <c r="B79" s="235" t="s">
        <v>1307</v>
      </c>
    </row>
    <row r="80" spans="1:2">
      <c r="A80" s="236" t="s">
        <v>1357</v>
      </c>
      <c r="B80" s="237" t="s">
        <v>1358</v>
      </c>
    </row>
    <row r="81" spans="1:2">
      <c r="A81" s="236" t="s">
        <v>1359</v>
      </c>
      <c r="B81" s="237" t="s">
        <v>1360</v>
      </c>
    </row>
    <row r="82" spans="1:2">
      <c r="A82" s="230" t="s">
        <v>1361</v>
      </c>
      <c r="B82" s="231" t="s">
        <v>1362</v>
      </c>
    </row>
    <row r="83" spans="1:2">
      <c r="A83" s="234" t="s">
        <v>1306</v>
      </c>
      <c r="B83" s="235" t="s">
        <v>1307</v>
      </c>
    </row>
    <row r="84" spans="1:2">
      <c r="A84" s="236" t="s">
        <v>1363</v>
      </c>
      <c r="B84" s="237" t="s">
        <v>1364</v>
      </c>
    </row>
    <row r="85" spans="1:2">
      <c r="A85" s="236" t="s">
        <v>1365</v>
      </c>
      <c r="B85" s="237" t="s">
        <v>1366</v>
      </c>
    </row>
    <row r="86" spans="1:2">
      <c r="A86" s="236" t="s">
        <v>1367</v>
      </c>
      <c r="B86" s="237" t="s">
        <v>1368</v>
      </c>
    </row>
    <row r="87" spans="1:2">
      <c r="A87" s="236" t="s">
        <v>1369</v>
      </c>
      <c r="B87" s="237" t="s">
        <v>1370</v>
      </c>
    </row>
    <row r="88" spans="1:2">
      <c r="A88" s="230" t="s">
        <v>1371</v>
      </c>
      <c r="B88" s="231" t="s">
        <v>1372</v>
      </c>
    </row>
    <row r="89" spans="1:2">
      <c r="A89" s="234" t="s">
        <v>1373</v>
      </c>
      <c r="B89" s="235" t="s">
        <v>1374</v>
      </c>
    </row>
    <row r="90" spans="1:2">
      <c r="A90" s="236" t="s">
        <v>1375</v>
      </c>
      <c r="B90" s="237" t="s">
        <v>1376</v>
      </c>
    </row>
    <row r="91" spans="1:2">
      <c r="A91" s="236" t="s">
        <v>1377</v>
      </c>
      <c r="B91" s="237" t="s">
        <v>1378</v>
      </c>
    </row>
    <row r="92" spans="1:2">
      <c r="A92" s="236" t="s">
        <v>1379</v>
      </c>
      <c r="B92" s="237" t="s">
        <v>1380</v>
      </c>
    </row>
    <row r="93" spans="1:2">
      <c r="A93" s="236" t="s">
        <v>1381</v>
      </c>
      <c r="B93" s="237" t="s">
        <v>1382</v>
      </c>
    </row>
    <row r="94" spans="1:2">
      <c r="A94" s="236" t="s">
        <v>1383</v>
      </c>
      <c r="B94" s="237" t="s">
        <v>1384</v>
      </c>
    </row>
    <row r="95" spans="1:2">
      <c r="A95" s="236" t="s">
        <v>1385</v>
      </c>
      <c r="B95" s="237" t="s">
        <v>1386</v>
      </c>
    </row>
    <row r="96" spans="1:2">
      <c r="A96" s="236" t="s">
        <v>1387</v>
      </c>
      <c r="B96" s="237" t="s">
        <v>1388</v>
      </c>
    </row>
    <row r="97" spans="1:2">
      <c r="A97" s="236" t="s">
        <v>1389</v>
      </c>
      <c r="B97" s="237" t="s">
        <v>1390</v>
      </c>
    </row>
    <row r="98" spans="1:2">
      <c r="A98" s="236" t="s">
        <v>1391</v>
      </c>
      <c r="B98" s="237" t="s">
        <v>1392</v>
      </c>
    </row>
    <row r="99" spans="1:2">
      <c r="A99" s="236" t="s">
        <v>1393</v>
      </c>
      <c r="B99" s="237" t="s">
        <v>1394</v>
      </c>
    </row>
    <row r="100" spans="1:2">
      <c r="A100" s="236" t="s">
        <v>1395</v>
      </c>
      <c r="B100" s="237" t="s">
        <v>1396</v>
      </c>
    </row>
    <row r="101" spans="1:2">
      <c r="A101" s="236" t="s">
        <v>1397</v>
      </c>
      <c r="B101" s="237" t="s">
        <v>1398</v>
      </c>
    </row>
    <row r="102" spans="1:2">
      <c r="A102" s="236" t="s">
        <v>1399</v>
      </c>
      <c r="B102" s="237" t="s">
        <v>1400</v>
      </c>
    </row>
    <row r="103" spans="1:2">
      <c r="A103" s="236" t="s">
        <v>1401</v>
      </c>
      <c r="B103" s="237" t="s">
        <v>1402</v>
      </c>
    </row>
    <row r="104" spans="1:2">
      <c r="A104" s="236" t="s">
        <v>1403</v>
      </c>
      <c r="B104" s="237" t="s">
        <v>1404</v>
      </c>
    </row>
    <row r="105" spans="1:2">
      <c r="A105" s="230" t="s">
        <v>1405</v>
      </c>
      <c r="B105" s="231" t="s">
        <v>1406</v>
      </c>
    </row>
    <row r="106" spans="1:2">
      <c r="A106" s="234" t="s">
        <v>1306</v>
      </c>
      <c r="B106" s="235" t="s">
        <v>1307</v>
      </c>
    </row>
    <row r="107" spans="1:2">
      <c r="A107" s="236" t="s">
        <v>1407</v>
      </c>
      <c r="B107" s="237" t="s">
        <v>1408</v>
      </c>
    </row>
    <row r="108" spans="1:2">
      <c r="A108" s="236" t="s">
        <v>1409</v>
      </c>
      <c r="B108" s="237" t="s">
        <v>1410</v>
      </c>
    </row>
    <row r="109" spans="1:2">
      <c r="A109" s="230" t="s">
        <v>1411</v>
      </c>
      <c r="B109" s="231" t="s">
        <v>1412</v>
      </c>
    </row>
    <row r="110" spans="1:2">
      <c r="A110" s="234" t="s">
        <v>1373</v>
      </c>
      <c r="B110" s="235" t="s">
        <v>1374</v>
      </c>
    </row>
    <row r="111" spans="1:2">
      <c r="A111" s="236" t="s">
        <v>1413</v>
      </c>
      <c r="B111" s="237" t="s">
        <v>1414</v>
      </c>
    </row>
    <row r="112" spans="1:2">
      <c r="A112" s="236" t="s">
        <v>1415</v>
      </c>
      <c r="B112" s="237" t="s">
        <v>1416</v>
      </c>
    </row>
    <row r="113" spans="1:2">
      <c r="A113" s="236" t="s">
        <v>1417</v>
      </c>
      <c r="B113" s="237" t="s">
        <v>1418</v>
      </c>
    </row>
    <row r="114" spans="1:2">
      <c r="A114" s="236" t="s">
        <v>1419</v>
      </c>
      <c r="B114" s="237" t="s">
        <v>1420</v>
      </c>
    </row>
    <row r="115" spans="1:2">
      <c r="A115" s="236" t="s">
        <v>1421</v>
      </c>
      <c r="B115" s="237" t="s">
        <v>1422</v>
      </c>
    </row>
    <row r="116" spans="1:2">
      <c r="A116" s="230" t="s">
        <v>1423</v>
      </c>
      <c r="B116" s="231" t="s">
        <v>1424</v>
      </c>
    </row>
    <row r="117" spans="1:2">
      <c r="A117" s="234" t="s">
        <v>1316</v>
      </c>
      <c r="B117" s="235" t="s">
        <v>1317</v>
      </c>
    </row>
    <row r="118" spans="1:2">
      <c r="A118" s="236" t="s">
        <v>1425</v>
      </c>
      <c r="B118" s="237" t="s">
        <v>1426</v>
      </c>
    </row>
    <row r="119" spans="1:2">
      <c r="A119" s="236" t="s">
        <v>1427</v>
      </c>
      <c r="B119" s="237" t="s">
        <v>1428</v>
      </c>
    </row>
    <row r="120" spans="1:2">
      <c r="A120" s="236" t="s">
        <v>1429</v>
      </c>
      <c r="B120" s="237" t="s">
        <v>1430</v>
      </c>
    </row>
    <row r="121" spans="1:2">
      <c r="A121" s="236" t="s">
        <v>1431</v>
      </c>
      <c r="B121" s="237" t="s">
        <v>1432</v>
      </c>
    </row>
    <row r="122" spans="1:2">
      <c r="A122" s="236" t="s">
        <v>1433</v>
      </c>
      <c r="B122" s="237" t="s">
        <v>1434</v>
      </c>
    </row>
    <row r="123" spans="1:2">
      <c r="A123" s="236" t="s">
        <v>1435</v>
      </c>
      <c r="B123" s="237" t="s">
        <v>1436</v>
      </c>
    </row>
    <row r="124" spans="1:2">
      <c r="A124" s="236" t="s">
        <v>1437</v>
      </c>
      <c r="B124" s="237" t="s">
        <v>1438</v>
      </c>
    </row>
    <row r="125" spans="1:2">
      <c r="A125" s="230" t="s">
        <v>1439</v>
      </c>
      <c r="B125" s="231" t="s">
        <v>1440</v>
      </c>
    </row>
    <row r="126" spans="1:2">
      <c r="A126" s="234" t="s">
        <v>61</v>
      </c>
      <c r="B126" s="235" t="s">
        <v>62</v>
      </c>
    </row>
    <row r="127" spans="1:2">
      <c r="A127" s="236" t="s">
        <v>1441</v>
      </c>
      <c r="B127" s="237" t="s">
        <v>1442</v>
      </c>
    </row>
    <row r="128" spans="1:2">
      <c r="A128" s="236" t="s">
        <v>1443</v>
      </c>
      <c r="B128" s="237" t="s">
        <v>1444</v>
      </c>
    </row>
    <row r="129" spans="1:2">
      <c r="A129" s="236" t="s">
        <v>1445</v>
      </c>
      <c r="B129" s="237" t="s">
        <v>1446</v>
      </c>
    </row>
    <row r="130" spans="1:2">
      <c r="A130" s="236" t="s">
        <v>1447</v>
      </c>
      <c r="B130" s="237" t="s">
        <v>1448</v>
      </c>
    </row>
    <row r="131" spans="1:2">
      <c r="A131" s="236" t="s">
        <v>1449</v>
      </c>
      <c r="B131" s="237" t="s">
        <v>1450</v>
      </c>
    </row>
    <row r="132" spans="1:2">
      <c r="A132" s="236" t="s">
        <v>1451</v>
      </c>
      <c r="B132" s="237" t="s">
        <v>1452</v>
      </c>
    </row>
    <row r="133" spans="1:2">
      <c r="A133" s="236" t="s">
        <v>1453</v>
      </c>
      <c r="B133" s="237" t="s">
        <v>1454</v>
      </c>
    </row>
    <row r="134" spans="1:2">
      <c r="A134" s="236" t="s">
        <v>1455</v>
      </c>
      <c r="B134" s="237" t="s">
        <v>1456</v>
      </c>
    </row>
    <row r="135" spans="1:2">
      <c r="A135" s="236" t="s">
        <v>1457</v>
      </c>
      <c r="B135" s="237" t="s">
        <v>1458</v>
      </c>
    </row>
    <row r="136" spans="1:2">
      <c r="A136" s="236" t="s">
        <v>1459</v>
      </c>
      <c r="B136" s="237" t="s">
        <v>1460</v>
      </c>
    </row>
    <row r="137" spans="1:2">
      <c r="A137" s="236" t="s">
        <v>1461</v>
      </c>
      <c r="B137" s="237" t="s">
        <v>1462</v>
      </c>
    </row>
    <row r="138" spans="1:2">
      <c r="A138" s="236" t="s">
        <v>1463</v>
      </c>
      <c r="B138" s="237" t="s">
        <v>1464</v>
      </c>
    </row>
    <row r="139" spans="1:2">
      <c r="A139" s="236" t="s">
        <v>1465</v>
      </c>
      <c r="B139" s="237" t="s">
        <v>1466</v>
      </c>
    </row>
    <row r="140" spans="1:2">
      <c r="A140" s="236" t="s">
        <v>1467</v>
      </c>
      <c r="B140" s="237" t="s">
        <v>1468</v>
      </c>
    </row>
    <row r="141" spans="1:2">
      <c r="A141" s="236" t="s">
        <v>1469</v>
      </c>
      <c r="B141" s="237" t="s">
        <v>1470</v>
      </c>
    </row>
    <row r="142" spans="1:2">
      <c r="A142" s="236" t="s">
        <v>1471</v>
      </c>
      <c r="B142" s="237" t="s">
        <v>1472</v>
      </c>
    </row>
    <row r="143" spans="1:2">
      <c r="A143" s="236" t="s">
        <v>1473</v>
      </c>
      <c r="B143" s="237" t="s">
        <v>1474</v>
      </c>
    </row>
    <row r="144" spans="1:2">
      <c r="A144" s="236" t="s">
        <v>1475</v>
      </c>
      <c r="B144" s="237" t="s">
        <v>898</v>
      </c>
    </row>
    <row r="145" spans="1:2">
      <c r="A145" s="236" t="s">
        <v>1476</v>
      </c>
      <c r="B145" s="237" t="s">
        <v>1477</v>
      </c>
    </row>
    <row r="146" spans="1:2">
      <c r="A146" s="236" t="s">
        <v>1478</v>
      </c>
      <c r="B146" s="237" t="s">
        <v>1479</v>
      </c>
    </row>
    <row r="147" spans="1:2">
      <c r="A147" s="230" t="s">
        <v>1480</v>
      </c>
      <c r="B147" s="231" t="s">
        <v>1481</v>
      </c>
    </row>
    <row r="148" spans="1:2">
      <c r="A148" s="234" t="s">
        <v>1316</v>
      </c>
      <c r="B148" s="235" t="s">
        <v>1317</v>
      </c>
    </row>
    <row r="149" spans="1:2">
      <c r="A149" s="236" t="s">
        <v>1482</v>
      </c>
      <c r="B149" s="237" t="s">
        <v>1483</v>
      </c>
    </row>
    <row r="150" spans="1:2">
      <c r="A150" s="236" t="s">
        <v>1484</v>
      </c>
      <c r="B150" s="237" t="s">
        <v>1485</v>
      </c>
    </row>
    <row r="151" spans="1:2">
      <c r="A151" s="236" t="s">
        <v>1486</v>
      </c>
      <c r="B151" s="237" t="s">
        <v>1487</v>
      </c>
    </row>
    <row r="152" spans="1:2">
      <c r="A152" s="236" t="s">
        <v>1488</v>
      </c>
      <c r="B152" s="237" t="s">
        <v>1489</v>
      </c>
    </row>
    <row r="153" spans="1:2">
      <c r="A153" s="236" t="s">
        <v>1490</v>
      </c>
      <c r="B153" s="237" t="s">
        <v>1491</v>
      </c>
    </row>
    <row r="154" spans="1:2">
      <c r="A154" s="236" t="s">
        <v>1492</v>
      </c>
      <c r="B154" s="237" t="s">
        <v>1493</v>
      </c>
    </row>
    <row r="155" spans="1:2">
      <c r="A155" s="236" t="s">
        <v>1494</v>
      </c>
      <c r="B155" s="237" t="s">
        <v>1495</v>
      </c>
    </row>
    <row r="156" spans="1:2">
      <c r="A156" s="236" t="s">
        <v>1496</v>
      </c>
      <c r="B156" s="237" t="s">
        <v>1497</v>
      </c>
    </row>
    <row r="157" spans="1:2">
      <c r="A157" s="236" t="s">
        <v>1498</v>
      </c>
      <c r="B157" s="237" t="s">
        <v>1499</v>
      </c>
    </row>
    <row r="158" spans="1:2">
      <c r="A158" s="234" t="s">
        <v>1373</v>
      </c>
      <c r="B158" s="235" t="s">
        <v>1374</v>
      </c>
    </row>
    <row r="159" spans="1:2">
      <c r="A159" s="236" t="s">
        <v>1500</v>
      </c>
      <c r="B159" s="237" t="s">
        <v>1501</v>
      </c>
    </row>
    <row r="160" spans="1:2">
      <c r="A160" s="230" t="s">
        <v>1502</v>
      </c>
      <c r="B160" s="231" t="s">
        <v>1503</v>
      </c>
    </row>
    <row r="161" spans="1:2">
      <c r="A161" s="234" t="s">
        <v>1316</v>
      </c>
      <c r="B161" s="235" t="s">
        <v>1317</v>
      </c>
    </row>
    <row r="162" spans="1:2">
      <c r="A162" s="236" t="s">
        <v>1504</v>
      </c>
      <c r="B162" s="237" t="s">
        <v>1505</v>
      </c>
    </row>
    <row r="163" spans="1:2">
      <c r="A163" s="236" t="s">
        <v>1506</v>
      </c>
      <c r="B163" s="237" t="s">
        <v>1507</v>
      </c>
    </row>
    <row r="164" spans="1:2">
      <c r="A164" s="236" t="s">
        <v>1508</v>
      </c>
      <c r="B164" s="237" t="s">
        <v>1509</v>
      </c>
    </row>
    <row r="165" spans="1:2">
      <c r="A165" s="236" t="s">
        <v>1510</v>
      </c>
      <c r="B165" s="237" t="s">
        <v>1511</v>
      </c>
    </row>
    <row r="166" spans="1:2">
      <c r="A166" s="236" t="s">
        <v>1512</v>
      </c>
      <c r="B166" s="237" t="s">
        <v>1513</v>
      </c>
    </row>
    <row r="167" spans="1:2">
      <c r="A167" s="236" t="s">
        <v>1514</v>
      </c>
      <c r="B167" s="237" t="s">
        <v>1515</v>
      </c>
    </row>
    <row r="168" spans="1:2">
      <c r="A168" s="236" t="s">
        <v>1516</v>
      </c>
      <c r="B168" s="237" t="s">
        <v>1517</v>
      </c>
    </row>
    <row r="169" spans="1:2">
      <c r="A169" s="236" t="s">
        <v>1518</v>
      </c>
      <c r="B169" s="237" t="s">
        <v>1519</v>
      </c>
    </row>
    <row r="170" spans="1:2">
      <c r="A170" s="236" t="s">
        <v>1520</v>
      </c>
      <c r="B170" s="237" t="s">
        <v>1521</v>
      </c>
    </row>
    <row r="171" spans="1:2">
      <c r="A171" s="236" t="s">
        <v>1522</v>
      </c>
      <c r="B171" s="237" t="s">
        <v>1523</v>
      </c>
    </row>
    <row r="172" spans="1:2">
      <c r="A172" s="236" t="s">
        <v>1524</v>
      </c>
      <c r="B172" s="237" t="s">
        <v>1525</v>
      </c>
    </row>
    <row r="173" spans="1:2">
      <c r="A173" s="236" t="s">
        <v>1526</v>
      </c>
      <c r="B173" s="237" t="s">
        <v>1527</v>
      </c>
    </row>
    <row r="174" spans="1:2">
      <c r="A174" s="236" t="s">
        <v>1528</v>
      </c>
      <c r="B174" s="237" t="s">
        <v>1529</v>
      </c>
    </row>
    <row r="175" spans="1:2">
      <c r="A175" s="236" t="s">
        <v>1530</v>
      </c>
      <c r="B175" s="237" t="s">
        <v>1531</v>
      </c>
    </row>
    <row r="176" spans="1:2">
      <c r="A176" s="236" t="s">
        <v>1532</v>
      </c>
      <c r="B176" s="237" t="s">
        <v>1533</v>
      </c>
    </row>
    <row r="177" spans="1:2">
      <c r="A177" s="236" t="s">
        <v>1534</v>
      </c>
      <c r="B177" s="237" t="s">
        <v>1535</v>
      </c>
    </row>
    <row r="178" spans="1:2">
      <c r="A178" s="236" t="s">
        <v>1536</v>
      </c>
      <c r="B178" s="237" t="s">
        <v>1537</v>
      </c>
    </row>
    <row r="179" spans="1:2">
      <c r="A179" s="236" t="s">
        <v>1538</v>
      </c>
      <c r="B179" s="237" t="s">
        <v>1539</v>
      </c>
    </row>
    <row r="180" spans="1:2">
      <c r="A180" s="236" t="s">
        <v>1540</v>
      </c>
      <c r="B180" s="237" t="s">
        <v>1541</v>
      </c>
    </row>
    <row r="181" spans="1:2">
      <c r="A181" s="230" t="s">
        <v>1542</v>
      </c>
      <c r="B181" s="231" t="s">
        <v>1543</v>
      </c>
    </row>
    <row r="182" spans="1:2">
      <c r="A182" s="234" t="s">
        <v>1316</v>
      </c>
      <c r="B182" s="235" t="s">
        <v>1317</v>
      </c>
    </row>
    <row r="183" spans="1:2">
      <c r="A183" s="236" t="s">
        <v>1544</v>
      </c>
      <c r="B183" s="237" t="s">
        <v>1545</v>
      </c>
    </row>
    <row r="184" spans="1:2">
      <c r="A184" s="236" t="s">
        <v>1546</v>
      </c>
      <c r="B184" s="237" t="s">
        <v>1547</v>
      </c>
    </row>
    <row r="185" spans="1:2">
      <c r="A185" s="236" t="s">
        <v>1548</v>
      </c>
      <c r="B185" s="237" t="s">
        <v>1549</v>
      </c>
    </row>
    <row r="186" spans="1:2">
      <c r="A186" s="236" t="s">
        <v>1550</v>
      </c>
      <c r="B186" s="237" t="s">
        <v>1551</v>
      </c>
    </row>
    <row r="187" spans="1:2">
      <c r="A187" s="236" t="s">
        <v>1552</v>
      </c>
      <c r="B187" s="237" t="s">
        <v>1553</v>
      </c>
    </row>
    <row r="188" spans="1:2">
      <c r="A188" s="236" t="s">
        <v>1554</v>
      </c>
      <c r="B188" s="237" t="s">
        <v>1555</v>
      </c>
    </row>
    <row r="189" spans="1:2">
      <c r="A189" s="236" t="s">
        <v>1556</v>
      </c>
      <c r="B189" s="237" t="s">
        <v>1557</v>
      </c>
    </row>
    <row r="190" spans="1:2">
      <c r="A190" s="236" t="s">
        <v>1558</v>
      </c>
      <c r="B190" s="237" t="s">
        <v>1559</v>
      </c>
    </row>
    <row r="191" spans="1:2">
      <c r="A191" s="236" t="s">
        <v>1560</v>
      </c>
      <c r="B191" s="237" t="s">
        <v>1561</v>
      </c>
    </row>
    <row r="192" spans="1:2">
      <c r="A192" s="236" t="s">
        <v>1562</v>
      </c>
      <c r="B192" s="237" t="s">
        <v>1563</v>
      </c>
    </row>
    <row r="193" spans="1:2">
      <c r="A193" s="236" t="s">
        <v>1564</v>
      </c>
      <c r="B193" s="237" t="s">
        <v>1565</v>
      </c>
    </row>
    <row r="194" spans="1:2">
      <c r="A194" s="236" t="s">
        <v>1566</v>
      </c>
      <c r="B194" s="237" t="s">
        <v>1567</v>
      </c>
    </row>
    <row r="195" spans="1:2">
      <c r="A195" s="236" t="s">
        <v>1568</v>
      </c>
      <c r="B195" s="237" t="s">
        <v>1569</v>
      </c>
    </row>
    <row r="196" spans="1:2">
      <c r="A196" s="236" t="s">
        <v>1570</v>
      </c>
      <c r="B196" s="237" t="s">
        <v>1571</v>
      </c>
    </row>
    <row r="197" spans="1:2">
      <c r="A197" s="236" t="s">
        <v>1572</v>
      </c>
      <c r="B197" s="237" t="s">
        <v>898</v>
      </c>
    </row>
    <row r="198" spans="1:2">
      <c r="A198" s="236" t="s">
        <v>1573</v>
      </c>
      <c r="B198" s="237" t="s">
        <v>1574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workbookViewId="0">
      <selection activeCell="G8" sqref="G8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1575</v>
      </c>
      <c r="B1" s="242"/>
    </row>
    <row r="2" spans="1:2">
      <c r="A2" s="241" t="s">
        <v>1282</v>
      </c>
      <c r="B2" s="242" t="s">
        <v>657</v>
      </c>
    </row>
    <row r="3" spans="1:2">
      <c r="A3" s="243" t="s">
        <v>1314</v>
      </c>
      <c r="B3" s="244" t="s">
        <v>1315</v>
      </c>
    </row>
    <row r="4" spans="1:2">
      <c r="A4" s="245" t="s">
        <v>1316</v>
      </c>
      <c r="B4" s="246" t="s">
        <v>1317</v>
      </c>
    </row>
    <row r="5" spans="1:2">
      <c r="A5" s="245" t="s">
        <v>1332</v>
      </c>
      <c r="B5" s="246" t="s">
        <v>900</v>
      </c>
    </row>
    <row r="6" spans="1:2">
      <c r="A6" s="247" t="s">
        <v>1576</v>
      </c>
      <c r="B6" s="248" t="s">
        <v>1577</v>
      </c>
    </row>
    <row r="7" spans="1:2">
      <c r="A7" s="245" t="s">
        <v>1333</v>
      </c>
      <c r="B7" s="246" t="s">
        <v>898</v>
      </c>
    </row>
    <row r="8" spans="1:2" ht="22.5">
      <c r="A8" s="247" t="s">
        <v>1578</v>
      </c>
      <c r="B8" s="248" t="s">
        <v>1579</v>
      </c>
    </row>
    <row r="9" spans="1:2">
      <c r="A9" s="247" t="s">
        <v>1580</v>
      </c>
      <c r="B9" s="248" t="s">
        <v>1581</v>
      </c>
    </row>
    <row r="10" spans="1:2">
      <c r="A10" s="247" t="s">
        <v>1582</v>
      </c>
      <c r="B10" s="248" t="s">
        <v>1583</v>
      </c>
    </row>
    <row r="11" spans="1:2" ht="22.5">
      <c r="A11" s="247" t="s">
        <v>1584</v>
      </c>
      <c r="B11" s="248" t="s">
        <v>1585</v>
      </c>
    </row>
    <row r="12" spans="1:2">
      <c r="A12" s="247" t="s">
        <v>1586</v>
      </c>
      <c r="B12" s="248" t="s">
        <v>1587</v>
      </c>
    </row>
    <row r="13" spans="1:2">
      <c r="A13" s="247" t="s">
        <v>1588</v>
      </c>
      <c r="B13" s="248" t="s">
        <v>1202</v>
      </c>
    </row>
    <row r="14" spans="1:2">
      <c r="A14" s="247" t="s">
        <v>1589</v>
      </c>
      <c r="B14" s="248" t="s">
        <v>1204</v>
      </c>
    </row>
    <row r="15" spans="1:2">
      <c r="A15" s="247" t="s">
        <v>1590</v>
      </c>
      <c r="B15" s="248" t="s">
        <v>1206</v>
      </c>
    </row>
    <row r="16" spans="1:2">
      <c r="A16" s="247" t="s">
        <v>1591</v>
      </c>
      <c r="B16" s="248" t="s">
        <v>1592</v>
      </c>
    </row>
    <row r="17" spans="1:2">
      <c r="A17" s="247" t="s">
        <v>1593</v>
      </c>
      <c r="B17" s="248" t="s">
        <v>1594</v>
      </c>
    </row>
    <row r="18" spans="1:2">
      <c r="A18" s="247" t="s">
        <v>1595</v>
      </c>
      <c r="B18" s="248" t="s">
        <v>1596</v>
      </c>
    </row>
    <row r="19" spans="1:2">
      <c r="A19" s="247" t="s">
        <v>1597</v>
      </c>
      <c r="B19" s="248" t="s">
        <v>1598</v>
      </c>
    </row>
    <row r="20" spans="1:2">
      <c r="A20" s="247" t="s">
        <v>1599</v>
      </c>
      <c r="B20" s="248" t="s">
        <v>1600</v>
      </c>
    </row>
    <row r="21" spans="1:2">
      <c r="A21" s="247" t="s">
        <v>1601</v>
      </c>
      <c r="B21" s="248" t="s">
        <v>1602</v>
      </c>
    </row>
    <row r="22" spans="1:2">
      <c r="A22" s="247" t="s">
        <v>1603</v>
      </c>
      <c r="B22" s="248" t="s">
        <v>1604</v>
      </c>
    </row>
    <row r="23" spans="1:2">
      <c r="A23" s="247" t="s">
        <v>1605</v>
      </c>
      <c r="B23" s="248" t="s">
        <v>1606</v>
      </c>
    </row>
    <row r="24" spans="1:2">
      <c r="A24" s="247" t="s">
        <v>1607</v>
      </c>
      <c r="B24" s="248" t="s">
        <v>1608</v>
      </c>
    </row>
    <row r="25" spans="1:2">
      <c r="A25" s="247" t="s">
        <v>1609</v>
      </c>
      <c r="B25" s="248" t="s">
        <v>1610</v>
      </c>
    </row>
    <row r="26" spans="1:2">
      <c r="A26" s="247" t="s">
        <v>1611</v>
      </c>
      <c r="B26" s="248" t="s">
        <v>1612</v>
      </c>
    </row>
    <row r="27" spans="1:2">
      <c r="A27" s="247" t="s">
        <v>1613</v>
      </c>
      <c r="B27" s="248" t="s">
        <v>1614</v>
      </c>
    </row>
    <row r="28" spans="1:2">
      <c r="A28" s="247" t="s">
        <v>1615</v>
      </c>
      <c r="B28" s="248" t="s">
        <v>1616</v>
      </c>
    </row>
    <row r="29" spans="1:2">
      <c r="A29" s="247" t="s">
        <v>1617</v>
      </c>
      <c r="B29" s="248" t="s">
        <v>1618</v>
      </c>
    </row>
    <row r="30" spans="1:2">
      <c r="A30" s="247" t="s">
        <v>1619</v>
      </c>
      <c r="B30" s="248" t="s">
        <v>1620</v>
      </c>
    </row>
    <row r="31" spans="1:2">
      <c r="A31" s="245" t="s">
        <v>1306</v>
      </c>
      <c r="B31" s="249" t="s">
        <v>1307</v>
      </c>
    </row>
    <row r="32" spans="1:2">
      <c r="A32" s="245" t="s">
        <v>1350</v>
      </c>
      <c r="B32" s="249" t="s">
        <v>896</v>
      </c>
    </row>
    <row r="33" spans="1:2">
      <c r="A33" s="247" t="s">
        <v>1621</v>
      </c>
      <c r="B33" s="248" t="s">
        <v>1622</v>
      </c>
    </row>
    <row r="34" spans="1:2">
      <c r="A34" s="247" t="s">
        <v>1623</v>
      </c>
      <c r="B34" s="248" t="s">
        <v>1624</v>
      </c>
    </row>
    <row r="35" spans="1:2">
      <c r="A35" s="247" t="s">
        <v>1625</v>
      </c>
      <c r="B35" s="248" t="s">
        <v>1626</v>
      </c>
    </row>
    <row r="36" spans="1:2">
      <c r="A36" s="247" t="s">
        <v>1627</v>
      </c>
      <c r="B36" s="248" t="s">
        <v>371</v>
      </c>
    </row>
    <row r="37" spans="1:2">
      <c r="A37" s="247" t="s">
        <v>1628</v>
      </c>
      <c r="B37" s="248" t="s">
        <v>1629</v>
      </c>
    </row>
    <row r="38" spans="1:2">
      <c r="A38" s="247" t="s">
        <v>1630</v>
      </c>
      <c r="B38" s="248" t="s">
        <v>1631</v>
      </c>
    </row>
    <row r="39" spans="1:2">
      <c r="A39" s="247" t="s">
        <v>1632</v>
      </c>
      <c r="B39" s="248" t="s">
        <v>1633</v>
      </c>
    </row>
    <row r="40" spans="1:2">
      <c r="A40" s="247" t="s">
        <v>1634</v>
      </c>
      <c r="B40" s="248" t="s">
        <v>1635</v>
      </c>
    </row>
    <row r="41" spans="1:2">
      <c r="A41" s="247" t="s">
        <v>1636</v>
      </c>
      <c r="B41" s="248" t="s">
        <v>1637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1287</v>
      </c>
    </row>
    <row r="45" spans="1:2">
      <c r="A45" s="247" t="s">
        <v>915</v>
      </c>
      <c r="B45" s="248" t="s">
        <v>916</v>
      </c>
    </row>
    <row r="46" spans="1:2">
      <c r="A46" s="247" t="s">
        <v>917</v>
      </c>
      <c r="B46" s="248" t="s">
        <v>918</v>
      </c>
    </row>
    <row r="47" spans="1:2">
      <c r="A47" s="247" t="s">
        <v>919</v>
      </c>
      <c r="B47" s="248" t="s">
        <v>920</v>
      </c>
    </row>
    <row r="48" spans="1:2">
      <c r="A48" s="247" t="s">
        <v>921</v>
      </c>
      <c r="B48" s="248" t="s">
        <v>922</v>
      </c>
    </row>
    <row r="49" spans="1:2">
      <c r="A49" s="247" t="s">
        <v>923</v>
      </c>
      <c r="B49" s="248" t="s">
        <v>924</v>
      </c>
    </row>
    <row r="50" spans="1:2">
      <c r="A50" s="247" t="s">
        <v>925</v>
      </c>
      <c r="B50" s="248" t="s">
        <v>926</v>
      </c>
    </row>
    <row r="51" spans="1:2">
      <c r="A51" s="247" t="s">
        <v>927</v>
      </c>
      <c r="B51" s="248" t="s">
        <v>928</v>
      </c>
    </row>
    <row r="52" spans="1:2">
      <c r="A52" s="247" t="s">
        <v>929</v>
      </c>
      <c r="B52" s="248" t="s">
        <v>930</v>
      </c>
    </row>
    <row r="53" spans="1:2">
      <c r="A53" s="247" t="s">
        <v>931</v>
      </c>
      <c r="B53" s="248" t="s">
        <v>932</v>
      </c>
    </row>
    <row r="54" spans="1:2">
      <c r="A54" s="245" t="s">
        <v>136</v>
      </c>
      <c r="B54" s="249" t="s">
        <v>1288</v>
      </c>
    </row>
    <row r="55" spans="1:2">
      <c r="A55" s="247" t="s">
        <v>933</v>
      </c>
      <c r="B55" s="248" t="s">
        <v>934</v>
      </c>
    </row>
    <row r="56" spans="1:2">
      <c r="A56" s="247" t="s">
        <v>935</v>
      </c>
      <c r="B56" s="248" t="s">
        <v>936</v>
      </c>
    </row>
    <row r="57" spans="1:2">
      <c r="A57" s="247" t="s">
        <v>937</v>
      </c>
      <c r="B57" s="248" t="s">
        <v>938</v>
      </c>
    </row>
    <row r="58" spans="1:2">
      <c r="A58" s="247" t="s">
        <v>939</v>
      </c>
      <c r="B58" s="248" t="s">
        <v>940</v>
      </c>
    </row>
    <row r="59" spans="1:2">
      <c r="A59" s="247" t="s">
        <v>941</v>
      </c>
      <c r="B59" s="248" t="s">
        <v>942</v>
      </c>
    </row>
    <row r="60" spans="1:2">
      <c r="A60" s="247" t="s">
        <v>943</v>
      </c>
      <c r="B60" s="248" t="s">
        <v>944</v>
      </c>
    </row>
    <row r="61" spans="1:2">
      <c r="A61" s="247" t="s">
        <v>945</v>
      </c>
      <c r="B61" s="248" t="s">
        <v>946</v>
      </c>
    </row>
    <row r="62" spans="1:2">
      <c r="A62" s="247" t="s">
        <v>947</v>
      </c>
      <c r="B62" s="248" t="s">
        <v>948</v>
      </c>
    </row>
    <row r="63" spans="1:2">
      <c r="A63" s="247" t="s">
        <v>949</v>
      </c>
      <c r="B63" s="248" t="s">
        <v>950</v>
      </c>
    </row>
    <row r="64" spans="1:2">
      <c r="A64" s="247" t="s">
        <v>951</v>
      </c>
      <c r="B64" s="248" t="s">
        <v>952</v>
      </c>
    </row>
    <row r="65" spans="1:2">
      <c r="A65" s="247" t="s">
        <v>953</v>
      </c>
      <c r="B65" s="248" t="s">
        <v>954</v>
      </c>
    </row>
    <row r="66" spans="1:2">
      <c r="A66" s="247" t="s">
        <v>955</v>
      </c>
      <c r="B66" s="248" t="s">
        <v>956</v>
      </c>
    </row>
    <row r="67" spans="1:2">
      <c r="A67" s="247" t="s">
        <v>957</v>
      </c>
      <c r="B67" s="248" t="s">
        <v>958</v>
      </c>
    </row>
    <row r="68" spans="1:2">
      <c r="A68" s="247" t="s">
        <v>959</v>
      </c>
      <c r="B68" s="248" t="s">
        <v>960</v>
      </c>
    </row>
    <row r="69" spans="1:2">
      <c r="A69" s="247" t="s">
        <v>961</v>
      </c>
      <c r="B69" s="248" t="s">
        <v>962</v>
      </c>
    </row>
    <row r="70" spans="1:2">
      <c r="A70" s="247" t="s">
        <v>963</v>
      </c>
      <c r="B70" s="248" t="s">
        <v>964</v>
      </c>
    </row>
    <row r="71" spans="1:2">
      <c r="A71" s="247" t="s">
        <v>965</v>
      </c>
      <c r="B71" s="248" t="s">
        <v>966</v>
      </c>
    </row>
    <row r="72" spans="1:2">
      <c r="A72" s="247" t="s">
        <v>967</v>
      </c>
      <c r="B72" s="248" t="s">
        <v>968</v>
      </c>
    </row>
    <row r="73" spans="1:2">
      <c r="A73" s="247" t="s">
        <v>969</v>
      </c>
      <c r="B73" s="248" t="s">
        <v>970</v>
      </c>
    </row>
    <row r="74" spans="1:2">
      <c r="A74" s="247" t="s">
        <v>971</v>
      </c>
      <c r="B74" s="248" t="s">
        <v>972</v>
      </c>
    </row>
    <row r="75" spans="1:2">
      <c r="A75" s="247" t="s">
        <v>973</v>
      </c>
      <c r="B75" s="248" t="s">
        <v>974</v>
      </c>
    </row>
    <row r="76" spans="1:2">
      <c r="A76" s="247" t="s">
        <v>975</v>
      </c>
      <c r="B76" s="248" t="s">
        <v>976</v>
      </c>
    </row>
    <row r="77" spans="1:2">
      <c r="A77" s="247" t="s">
        <v>977</v>
      </c>
      <c r="B77" s="248" t="s">
        <v>978</v>
      </c>
    </row>
    <row r="78" spans="1:2">
      <c r="A78" s="245" t="s">
        <v>144</v>
      </c>
      <c r="B78" s="249" t="s">
        <v>1290</v>
      </c>
    </row>
    <row r="79" spans="1:2">
      <c r="A79" s="247" t="s">
        <v>979</v>
      </c>
      <c r="B79" s="248" t="s">
        <v>980</v>
      </c>
    </row>
    <row r="80" spans="1:2">
      <c r="A80" s="247" t="s">
        <v>981</v>
      </c>
      <c r="B80" s="248" t="s">
        <v>982</v>
      </c>
    </row>
    <row r="81" spans="1:2">
      <c r="A81" s="247" t="s">
        <v>983</v>
      </c>
      <c r="B81" s="248" t="s">
        <v>984</v>
      </c>
    </row>
    <row r="82" spans="1:2">
      <c r="A82" s="247" t="s">
        <v>985</v>
      </c>
      <c r="B82" s="248" t="s">
        <v>986</v>
      </c>
    </row>
    <row r="83" spans="1:2">
      <c r="A83" s="247" t="s">
        <v>987</v>
      </c>
      <c r="B83" s="248" t="s">
        <v>988</v>
      </c>
    </row>
    <row r="84" spans="1:2">
      <c r="A84" s="247" t="s">
        <v>989</v>
      </c>
      <c r="B84" s="248" t="s">
        <v>990</v>
      </c>
    </row>
    <row r="85" spans="1:2">
      <c r="A85" s="247" t="s">
        <v>991</v>
      </c>
      <c r="B85" s="248" t="s">
        <v>992</v>
      </c>
    </row>
    <row r="86" spans="1:2">
      <c r="A86" s="247" t="s">
        <v>993</v>
      </c>
      <c r="B86" s="248" t="s">
        <v>994</v>
      </c>
    </row>
    <row r="87" spans="1:2">
      <c r="A87" s="245" t="s">
        <v>150</v>
      </c>
      <c r="B87" s="249" t="s">
        <v>1291</v>
      </c>
    </row>
    <row r="88" spans="1:2">
      <c r="A88" s="247" t="s">
        <v>995</v>
      </c>
      <c r="B88" s="248" t="s">
        <v>996</v>
      </c>
    </row>
    <row r="89" spans="1:2">
      <c r="A89" s="247" t="s">
        <v>997</v>
      </c>
      <c r="B89" s="248" t="s">
        <v>998</v>
      </c>
    </row>
    <row r="90" spans="1:2">
      <c r="A90" s="247" t="s">
        <v>999</v>
      </c>
      <c r="B90" s="248" t="s">
        <v>1000</v>
      </c>
    </row>
    <row r="91" spans="1:2">
      <c r="A91" s="247" t="s">
        <v>1001</v>
      </c>
      <c r="B91" s="248" t="s">
        <v>1002</v>
      </c>
    </row>
    <row r="92" spans="1:2">
      <c r="A92" s="247" t="s">
        <v>1003</v>
      </c>
      <c r="B92" s="248" t="s">
        <v>1004</v>
      </c>
    </row>
    <row r="93" spans="1:2">
      <c r="A93" s="247" t="s">
        <v>1005</v>
      </c>
      <c r="B93" s="248" t="s">
        <v>1006</v>
      </c>
    </row>
    <row r="94" spans="1:2">
      <c r="A94" s="247" t="s">
        <v>1007</v>
      </c>
      <c r="B94" s="248" t="s">
        <v>1008</v>
      </c>
    </row>
    <row r="95" spans="1:2">
      <c r="A95" s="247" t="s">
        <v>1009</v>
      </c>
      <c r="B95" s="248" t="s">
        <v>1010</v>
      </c>
    </row>
    <row r="96" spans="1:2">
      <c r="A96" s="245" t="s">
        <v>152</v>
      </c>
      <c r="B96" s="249" t="s">
        <v>1292</v>
      </c>
    </row>
    <row r="97" spans="1:2">
      <c r="A97" s="247" t="s">
        <v>1011</v>
      </c>
      <c r="B97" s="248" t="s">
        <v>1012</v>
      </c>
    </row>
    <row r="98" spans="1:2">
      <c r="A98" s="247" t="s">
        <v>1013</v>
      </c>
      <c r="B98" s="248" t="s">
        <v>1014</v>
      </c>
    </row>
    <row r="99" spans="1:2">
      <c r="A99" s="247" t="s">
        <v>1015</v>
      </c>
      <c r="B99" s="248" t="s">
        <v>1016</v>
      </c>
    </row>
    <row r="100" spans="1:2">
      <c r="A100" s="245" t="s">
        <v>154</v>
      </c>
      <c r="B100" s="249" t="s">
        <v>1293</v>
      </c>
    </row>
    <row r="101" spans="1:2">
      <c r="A101" s="247" t="s">
        <v>1017</v>
      </c>
      <c r="B101" s="248" t="s">
        <v>1018</v>
      </c>
    </row>
    <row r="102" spans="1:2">
      <c r="A102" s="247" t="s">
        <v>1019</v>
      </c>
      <c r="B102" s="248" t="s">
        <v>1020</v>
      </c>
    </row>
    <row r="103" spans="1:2">
      <c r="A103" s="247" t="s">
        <v>1021</v>
      </c>
      <c r="B103" s="248" t="s">
        <v>1022</v>
      </c>
    </row>
    <row r="104" spans="1:2">
      <c r="A104" s="247" t="s">
        <v>1023</v>
      </c>
      <c r="B104" s="248" t="s">
        <v>1024</v>
      </c>
    </row>
    <row r="105" spans="1:2">
      <c r="A105" s="247" t="s">
        <v>1025</v>
      </c>
      <c r="B105" s="248" t="s">
        <v>1026</v>
      </c>
    </row>
    <row r="106" spans="1:2">
      <c r="A106" s="247" t="s">
        <v>1027</v>
      </c>
      <c r="B106" s="248" t="s">
        <v>1028</v>
      </c>
    </row>
    <row r="107" spans="1:2">
      <c r="A107" s="247" t="s">
        <v>1029</v>
      </c>
      <c r="B107" s="248" t="s">
        <v>1030</v>
      </c>
    </row>
    <row r="108" spans="1:2">
      <c r="A108" s="247" t="s">
        <v>1031</v>
      </c>
      <c r="B108" s="248" t="s">
        <v>1032</v>
      </c>
    </row>
    <row r="109" spans="1:2">
      <c r="A109" s="247" t="s">
        <v>1033</v>
      </c>
      <c r="B109" s="248" t="s">
        <v>1034</v>
      </c>
    </row>
    <row r="110" spans="1:2">
      <c r="A110" s="247" t="s">
        <v>1035</v>
      </c>
      <c r="B110" s="248" t="s">
        <v>1036</v>
      </c>
    </row>
    <row r="111" spans="1:2">
      <c r="A111" s="247" t="s">
        <v>1037</v>
      </c>
      <c r="B111" s="248" t="s">
        <v>1038</v>
      </c>
    </row>
    <row r="112" spans="1:2" ht="22.5">
      <c r="A112" s="247" t="s">
        <v>1039</v>
      </c>
      <c r="B112" s="248" t="s">
        <v>1040</v>
      </c>
    </row>
    <row r="113" spans="1:2">
      <c r="A113" s="247" t="s">
        <v>1041</v>
      </c>
      <c r="B113" s="248" t="s">
        <v>1042</v>
      </c>
    </row>
    <row r="114" spans="1:2">
      <c r="A114" s="247" t="s">
        <v>1043</v>
      </c>
      <c r="B114" s="248" t="s">
        <v>1044</v>
      </c>
    </row>
    <row r="115" spans="1:2">
      <c r="A115" s="247" t="s">
        <v>1045</v>
      </c>
      <c r="B115" s="248" t="s">
        <v>1046</v>
      </c>
    </row>
    <row r="116" spans="1:2">
      <c r="A116" s="247" t="s">
        <v>1047</v>
      </c>
      <c r="B116" s="248" t="s">
        <v>1048</v>
      </c>
    </row>
    <row r="117" spans="1:2">
      <c r="A117" s="247" t="s">
        <v>1049</v>
      </c>
      <c r="B117" s="248" t="s">
        <v>1050</v>
      </c>
    </row>
    <row r="118" spans="1:2">
      <c r="A118" s="247" t="s">
        <v>1051</v>
      </c>
      <c r="B118" s="248" t="s">
        <v>1052</v>
      </c>
    </row>
    <row r="119" spans="1:2">
      <c r="A119" s="247" t="s">
        <v>1053</v>
      </c>
      <c r="B119" s="248" t="s">
        <v>1054</v>
      </c>
    </row>
    <row r="120" spans="1:2">
      <c r="A120" s="247" t="s">
        <v>1055</v>
      </c>
      <c r="B120" s="248" t="s">
        <v>1056</v>
      </c>
    </row>
    <row r="121" spans="1:2">
      <c r="A121" s="247" t="s">
        <v>1057</v>
      </c>
      <c r="B121" s="248" t="s">
        <v>1058</v>
      </c>
    </row>
    <row r="122" spans="1:2">
      <c r="A122" s="247" t="s">
        <v>1059</v>
      </c>
      <c r="B122" s="248" t="s">
        <v>1060</v>
      </c>
    </row>
    <row r="123" spans="1:2">
      <c r="A123" s="247" t="s">
        <v>1061</v>
      </c>
      <c r="B123" s="248" t="s">
        <v>1062</v>
      </c>
    </row>
    <row r="124" spans="1:2">
      <c r="A124" s="247" t="s">
        <v>1063</v>
      </c>
      <c r="B124" s="248" t="s">
        <v>1064</v>
      </c>
    </row>
    <row r="125" spans="1:2">
      <c r="A125" s="247" t="s">
        <v>1065</v>
      </c>
      <c r="B125" s="248" t="s">
        <v>1066</v>
      </c>
    </row>
    <row r="126" spans="1:2">
      <c r="A126" s="247" t="s">
        <v>1067</v>
      </c>
      <c r="B126" s="248" t="s">
        <v>1068</v>
      </c>
    </row>
    <row r="127" spans="1:2">
      <c r="A127" s="247" t="s">
        <v>1069</v>
      </c>
      <c r="B127" s="248" t="s">
        <v>1070</v>
      </c>
    </row>
    <row r="128" spans="1:2">
      <c r="A128" s="247" t="s">
        <v>1071</v>
      </c>
      <c r="B128" s="248" t="s">
        <v>1072</v>
      </c>
    </row>
    <row r="129" spans="1:2">
      <c r="A129" s="247" t="s">
        <v>1073</v>
      </c>
      <c r="B129" s="248" t="s">
        <v>1072</v>
      </c>
    </row>
    <row r="130" spans="1:2">
      <c r="A130" s="247" t="s">
        <v>1074</v>
      </c>
      <c r="B130" s="248" t="s">
        <v>1075</v>
      </c>
    </row>
    <row r="131" spans="1:2">
      <c r="A131" s="247" t="s">
        <v>1076</v>
      </c>
      <c r="B131" s="248" t="s">
        <v>1077</v>
      </c>
    </row>
    <row r="132" spans="1:2">
      <c r="A132" s="247" t="s">
        <v>1078</v>
      </c>
      <c r="B132" s="248" t="s">
        <v>1075</v>
      </c>
    </row>
    <row r="133" spans="1:2">
      <c r="A133" s="245" t="s">
        <v>158</v>
      </c>
      <c r="B133" s="249" t="s">
        <v>1294</v>
      </c>
    </row>
    <row r="134" spans="1:2">
      <c r="A134" s="247" t="s">
        <v>1079</v>
      </c>
      <c r="B134" s="248" t="s">
        <v>1080</v>
      </c>
    </row>
    <row r="135" spans="1:2">
      <c r="A135" s="247" t="s">
        <v>1081</v>
      </c>
      <c r="B135" s="248" t="s">
        <v>1082</v>
      </c>
    </row>
    <row r="136" spans="1:2">
      <c r="A136" s="247" t="s">
        <v>1083</v>
      </c>
      <c r="B136" s="248" t="s">
        <v>1084</v>
      </c>
    </row>
    <row r="137" spans="1:2">
      <c r="A137" s="247" t="s">
        <v>1085</v>
      </c>
      <c r="B137" s="248" t="s">
        <v>1086</v>
      </c>
    </row>
    <row r="138" spans="1:2">
      <c r="A138" s="247" t="s">
        <v>1087</v>
      </c>
      <c r="B138" s="248" t="s">
        <v>1088</v>
      </c>
    </row>
    <row r="139" spans="1:2">
      <c r="A139" s="247" t="s">
        <v>1089</v>
      </c>
      <c r="B139" s="248" t="s">
        <v>1090</v>
      </c>
    </row>
    <row r="140" spans="1:2">
      <c r="A140" s="247" t="s">
        <v>1091</v>
      </c>
      <c r="B140" s="248" t="s">
        <v>1092</v>
      </c>
    </row>
    <row r="141" spans="1:2">
      <c r="A141" s="247" t="s">
        <v>1093</v>
      </c>
      <c r="B141" s="248" t="s">
        <v>1094</v>
      </c>
    </row>
    <row r="142" spans="1:2">
      <c r="A142" s="247" t="s">
        <v>1095</v>
      </c>
      <c r="B142" s="248" t="s">
        <v>1096</v>
      </c>
    </row>
    <row r="143" spans="1:2">
      <c r="A143" s="247" t="s">
        <v>1097</v>
      </c>
      <c r="B143" s="248" t="s">
        <v>1098</v>
      </c>
    </row>
    <row r="144" spans="1:2">
      <c r="A144" s="247" t="s">
        <v>1099</v>
      </c>
      <c r="B144" s="248" t="s">
        <v>1100</v>
      </c>
    </row>
    <row r="145" spans="1:2">
      <c r="A145" s="247" t="s">
        <v>1101</v>
      </c>
      <c r="B145" s="248" t="s">
        <v>1102</v>
      </c>
    </row>
    <row r="146" spans="1:2">
      <c r="A146" s="247" t="s">
        <v>1103</v>
      </c>
      <c r="B146" s="248" t="s">
        <v>1104</v>
      </c>
    </row>
    <row r="147" spans="1:2">
      <c r="A147" s="247" t="s">
        <v>1105</v>
      </c>
      <c r="B147" s="248" t="s">
        <v>1106</v>
      </c>
    </row>
    <row r="148" spans="1:2">
      <c r="A148" s="247" t="s">
        <v>1107</v>
      </c>
      <c r="B148" s="248" t="s">
        <v>1108</v>
      </c>
    </row>
    <row r="149" spans="1:2">
      <c r="A149" s="247" t="s">
        <v>1109</v>
      </c>
      <c r="B149" s="248" t="s">
        <v>1110</v>
      </c>
    </row>
    <row r="150" spans="1:2">
      <c r="A150" s="247" t="s">
        <v>1111</v>
      </c>
      <c r="B150" s="248" t="s">
        <v>1112</v>
      </c>
    </row>
    <row r="151" spans="1:2">
      <c r="A151" s="247" t="s">
        <v>1113</v>
      </c>
      <c r="B151" s="248" t="s">
        <v>1114</v>
      </c>
    </row>
    <row r="152" spans="1:2">
      <c r="A152" s="247" t="s">
        <v>1115</v>
      </c>
      <c r="B152" s="248" t="s">
        <v>1116</v>
      </c>
    </row>
    <row r="153" spans="1:2">
      <c r="A153" s="247" t="s">
        <v>1117</v>
      </c>
      <c r="B153" s="248" t="s">
        <v>1118</v>
      </c>
    </row>
    <row r="154" spans="1:2">
      <c r="A154" s="247" t="s">
        <v>1119</v>
      </c>
      <c r="B154" s="248" t="s">
        <v>1120</v>
      </c>
    </row>
    <row r="155" spans="1:2">
      <c r="A155" s="247" t="s">
        <v>1121</v>
      </c>
      <c r="B155" s="248" t="s">
        <v>1122</v>
      </c>
    </row>
    <row r="156" spans="1:2">
      <c r="A156" s="247" t="s">
        <v>1123</v>
      </c>
      <c r="B156" s="248" t="s">
        <v>1124</v>
      </c>
    </row>
    <row r="157" spans="1:2">
      <c r="A157" s="247" t="s">
        <v>1125</v>
      </c>
      <c r="B157" s="248" t="s">
        <v>1126</v>
      </c>
    </row>
    <row r="158" spans="1:2">
      <c r="A158" s="247" t="s">
        <v>1127</v>
      </c>
      <c r="B158" s="248" t="s">
        <v>1128</v>
      </c>
    </row>
    <row r="159" spans="1:2">
      <c r="A159" s="247" t="s">
        <v>1129</v>
      </c>
      <c r="B159" s="248" t="s">
        <v>1130</v>
      </c>
    </row>
    <row r="160" spans="1:2">
      <c r="A160" s="247" t="s">
        <v>1131</v>
      </c>
      <c r="B160" s="248" t="s">
        <v>1132</v>
      </c>
    </row>
    <row r="161" spans="1:2">
      <c r="A161" s="247" t="s">
        <v>1133</v>
      </c>
      <c r="B161" s="248" t="s">
        <v>1134</v>
      </c>
    </row>
    <row r="162" spans="1:2">
      <c r="A162" s="247" t="s">
        <v>1135</v>
      </c>
      <c r="B162" s="248" t="s">
        <v>1136</v>
      </c>
    </row>
    <row r="163" spans="1:2">
      <c r="A163" s="247" t="s">
        <v>1137</v>
      </c>
      <c r="B163" s="248" t="s">
        <v>1138</v>
      </c>
    </row>
    <row r="164" spans="1:2">
      <c r="A164" s="247" t="s">
        <v>1139</v>
      </c>
      <c r="B164" s="248" t="s">
        <v>1140</v>
      </c>
    </row>
    <row r="165" spans="1:2">
      <c r="A165" s="247" t="s">
        <v>1141</v>
      </c>
      <c r="B165" s="248" t="s">
        <v>1142</v>
      </c>
    </row>
    <row r="166" spans="1:2">
      <c r="A166" s="247" t="s">
        <v>1143</v>
      </c>
      <c r="B166" s="248" t="s">
        <v>1144</v>
      </c>
    </row>
    <row r="167" spans="1:2">
      <c r="A167" s="247" t="s">
        <v>1145</v>
      </c>
      <c r="B167" s="248" t="s">
        <v>1146</v>
      </c>
    </row>
    <row r="168" spans="1:2">
      <c r="A168" s="247" t="s">
        <v>1147</v>
      </c>
      <c r="B168" s="248" t="s">
        <v>1148</v>
      </c>
    </row>
    <row r="169" spans="1:2">
      <c r="A169" s="247" t="s">
        <v>1149</v>
      </c>
      <c r="B169" s="248" t="s">
        <v>1150</v>
      </c>
    </row>
    <row r="170" spans="1:2">
      <c r="A170" s="247" t="s">
        <v>1151</v>
      </c>
      <c r="B170" s="248" t="s">
        <v>1152</v>
      </c>
    </row>
    <row r="171" spans="1:2">
      <c r="A171" s="247" t="s">
        <v>1153</v>
      </c>
      <c r="B171" s="248" t="s">
        <v>1154</v>
      </c>
    </row>
    <row r="172" spans="1:2">
      <c r="A172" s="247" t="s">
        <v>1155</v>
      </c>
      <c r="B172" s="248" t="s">
        <v>1156</v>
      </c>
    </row>
    <row r="173" spans="1:2">
      <c r="A173" s="247" t="s">
        <v>1157</v>
      </c>
      <c r="B173" s="248" t="s">
        <v>1158</v>
      </c>
    </row>
    <row r="174" spans="1:2">
      <c r="A174" s="247" t="s">
        <v>1159</v>
      </c>
      <c r="B174" s="248" t="s">
        <v>1160</v>
      </c>
    </row>
    <row r="175" spans="1:2">
      <c r="A175" s="247" t="s">
        <v>1161</v>
      </c>
      <c r="B175" s="248" t="s">
        <v>1162</v>
      </c>
    </row>
    <row r="176" spans="1:2">
      <c r="A176" s="247" t="s">
        <v>1163</v>
      </c>
      <c r="B176" s="248" t="s">
        <v>1164</v>
      </c>
    </row>
    <row r="177" spans="1:2">
      <c r="A177" s="247" t="s">
        <v>1165</v>
      </c>
      <c r="B177" s="248" t="s">
        <v>1166</v>
      </c>
    </row>
    <row r="178" spans="1:2">
      <c r="A178" s="247" t="s">
        <v>1167</v>
      </c>
      <c r="B178" s="248" t="s">
        <v>1168</v>
      </c>
    </row>
    <row r="179" spans="1:2">
      <c r="A179" s="247" t="s">
        <v>1169</v>
      </c>
      <c r="B179" s="248" t="s">
        <v>1170</v>
      </c>
    </row>
    <row r="180" spans="1:2">
      <c r="A180" s="247" t="s">
        <v>1171</v>
      </c>
      <c r="B180" s="248" t="s">
        <v>1172</v>
      </c>
    </row>
    <row r="181" spans="1:2">
      <c r="A181" s="247" t="s">
        <v>1173</v>
      </c>
      <c r="B181" s="248" t="s">
        <v>1174</v>
      </c>
    </row>
    <row r="182" spans="1:2">
      <c r="A182" s="247" t="s">
        <v>1175</v>
      </c>
      <c r="B182" s="248" t="s">
        <v>1176</v>
      </c>
    </row>
    <row r="183" spans="1:2">
      <c r="A183" s="247" t="s">
        <v>1177</v>
      </c>
      <c r="B183" s="248" t="s">
        <v>1178</v>
      </c>
    </row>
    <row r="184" spans="1:2">
      <c r="A184" s="247" t="s">
        <v>1179</v>
      </c>
      <c r="B184" s="248" t="s">
        <v>1180</v>
      </c>
    </row>
    <row r="185" spans="1:2">
      <c r="A185" s="247" t="s">
        <v>1181</v>
      </c>
      <c r="B185" s="248" t="s">
        <v>1182</v>
      </c>
    </row>
    <row r="186" spans="1:2">
      <c r="A186" s="247" t="s">
        <v>1183</v>
      </c>
      <c r="B186" s="248" t="s">
        <v>1184</v>
      </c>
    </row>
    <row r="187" spans="1:2">
      <c r="A187" s="247" t="s">
        <v>1185</v>
      </c>
      <c r="B187" s="248" t="s">
        <v>1186</v>
      </c>
    </row>
    <row r="188" spans="1:2">
      <c r="A188" s="245" t="s">
        <v>164</v>
      </c>
      <c r="B188" s="249" t="s">
        <v>1295</v>
      </c>
    </row>
    <row r="189" spans="1:2">
      <c r="A189" s="247" t="s">
        <v>1187</v>
      </c>
      <c r="B189" s="248" t="s">
        <v>1188</v>
      </c>
    </row>
    <row r="190" spans="1:2">
      <c r="A190" s="247" t="s">
        <v>1189</v>
      </c>
      <c r="B190" s="248" t="s">
        <v>1190</v>
      </c>
    </row>
    <row r="191" spans="1:2">
      <c r="A191" s="247" t="s">
        <v>1191</v>
      </c>
      <c r="B191" s="248" t="s">
        <v>1192</v>
      </c>
    </row>
    <row r="192" spans="1:2">
      <c r="A192" s="247" t="s">
        <v>1193</v>
      </c>
      <c r="B192" s="248" t="s">
        <v>1194</v>
      </c>
    </row>
    <row r="193" spans="1:2">
      <c r="A193" s="245" t="s">
        <v>287</v>
      </c>
      <c r="B193" s="249" t="s">
        <v>896</v>
      </c>
    </row>
    <row r="194" spans="1:2">
      <c r="A194" s="247" t="s">
        <v>1195</v>
      </c>
      <c r="B194" s="248" t="s">
        <v>370</v>
      </c>
    </row>
    <row r="195" spans="1:2">
      <c r="A195" s="247" t="s">
        <v>1196</v>
      </c>
      <c r="B195" s="248" t="s">
        <v>371</v>
      </c>
    </row>
    <row r="196" spans="1:2">
      <c r="A196" s="247" t="s">
        <v>1197</v>
      </c>
      <c r="B196" s="248" t="s">
        <v>1198</v>
      </c>
    </row>
    <row r="197" spans="1:2">
      <c r="A197" s="247" t="s">
        <v>1199</v>
      </c>
      <c r="B197" s="248" t="s">
        <v>1200</v>
      </c>
    </row>
    <row r="198" spans="1:2">
      <c r="A198" s="245" t="s">
        <v>897</v>
      </c>
      <c r="B198" s="249" t="s">
        <v>898</v>
      </c>
    </row>
    <row r="199" spans="1:2">
      <c r="A199" s="247" t="s">
        <v>1201</v>
      </c>
      <c r="B199" s="248" t="s">
        <v>1202</v>
      </c>
    </row>
    <row r="200" spans="1:2">
      <c r="A200" s="247" t="s">
        <v>1203</v>
      </c>
      <c r="B200" s="248" t="s">
        <v>1204</v>
      </c>
    </row>
    <row r="201" spans="1:2">
      <c r="A201" s="247" t="s">
        <v>1205</v>
      </c>
      <c r="B201" s="248" t="s">
        <v>1206</v>
      </c>
    </row>
    <row r="202" spans="1:2">
      <c r="A202" s="245" t="s">
        <v>899</v>
      </c>
      <c r="B202" s="249" t="s">
        <v>900</v>
      </c>
    </row>
    <row r="203" spans="1:2">
      <c r="A203" s="247" t="s">
        <v>1207</v>
      </c>
      <c r="B203" s="248" t="s">
        <v>1208</v>
      </c>
    </row>
    <row r="204" spans="1:2">
      <c r="A204" s="243" t="s">
        <v>705</v>
      </c>
      <c r="B204" s="250" t="s">
        <v>1308</v>
      </c>
    </row>
    <row r="205" spans="1:2">
      <c r="A205" s="245" t="s">
        <v>1306</v>
      </c>
      <c r="B205" s="249" t="s">
        <v>1307</v>
      </c>
    </row>
    <row r="206" spans="1:2">
      <c r="A206" s="245" t="s">
        <v>907</v>
      </c>
      <c r="B206" s="249" t="s">
        <v>1312</v>
      </c>
    </row>
    <row r="207" spans="1:2">
      <c r="A207" s="247" t="s">
        <v>1209</v>
      </c>
      <c r="B207" s="248" t="s">
        <v>1210</v>
      </c>
    </row>
    <row r="208" spans="1:2">
      <c r="A208" s="247" t="s">
        <v>1211</v>
      </c>
      <c r="B208" s="248" t="s">
        <v>1212</v>
      </c>
    </row>
    <row r="209" spans="1:2">
      <c r="A209" s="247" t="s">
        <v>1213</v>
      </c>
      <c r="B209" s="248" t="s">
        <v>1214</v>
      </c>
    </row>
    <row r="210" spans="1:2">
      <c r="A210" s="247" t="s">
        <v>1215</v>
      </c>
      <c r="B210" s="248" t="s">
        <v>1216</v>
      </c>
    </row>
    <row r="211" spans="1:2">
      <c r="A211" s="247" t="s">
        <v>1217</v>
      </c>
      <c r="B211" s="248" t="s">
        <v>1218</v>
      </c>
    </row>
    <row r="212" spans="1:2">
      <c r="A212" s="247" t="s">
        <v>1219</v>
      </c>
      <c r="B212" s="248" t="s">
        <v>1220</v>
      </c>
    </row>
    <row r="213" spans="1:2">
      <c r="A213" s="247" t="s">
        <v>1221</v>
      </c>
      <c r="B213" s="248" t="s">
        <v>1222</v>
      </c>
    </row>
    <row r="214" spans="1:2">
      <c r="A214" s="247" t="s">
        <v>1223</v>
      </c>
      <c r="B214" s="248" t="s">
        <v>1224</v>
      </c>
    </row>
    <row r="215" spans="1:2">
      <c r="A215" s="247" t="s">
        <v>1225</v>
      </c>
      <c r="B215" s="248" t="s">
        <v>1226</v>
      </c>
    </row>
    <row r="216" spans="1:2">
      <c r="A216" s="247" t="s">
        <v>1227</v>
      </c>
      <c r="B216" s="248" t="s">
        <v>1228</v>
      </c>
    </row>
    <row r="217" spans="1:2">
      <c r="A217" s="247" t="s">
        <v>1229</v>
      </c>
      <c r="B217" s="248" t="s">
        <v>1230</v>
      </c>
    </row>
    <row r="218" spans="1:2">
      <c r="A218" s="247" t="s">
        <v>1231</v>
      </c>
      <c r="B218" s="248" t="s">
        <v>1232</v>
      </c>
    </row>
    <row r="219" spans="1:2">
      <c r="A219" s="247" t="s">
        <v>1233</v>
      </c>
      <c r="B219" s="248" t="s">
        <v>1234</v>
      </c>
    </row>
    <row r="220" spans="1:2">
      <c r="A220" s="247" t="s">
        <v>1235</v>
      </c>
      <c r="B220" s="248" t="s">
        <v>1236</v>
      </c>
    </row>
    <row r="221" spans="1:2">
      <c r="A221" s="247" t="s">
        <v>1237</v>
      </c>
      <c r="B221" s="248" t="s">
        <v>1238</v>
      </c>
    </row>
    <row r="222" spans="1:2">
      <c r="A222" s="247" t="s">
        <v>1239</v>
      </c>
      <c r="B222" s="248" t="s">
        <v>1240</v>
      </c>
    </row>
    <row r="223" spans="1:2">
      <c r="A223" s="247" t="s">
        <v>1241</v>
      </c>
      <c r="B223" s="248" t="s">
        <v>1242</v>
      </c>
    </row>
    <row r="224" spans="1:2">
      <c r="A224" s="247" t="s">
        <v>1243</v>
      </c>
      <c r="B224" s="248" t="s">
        <v>1244</v>
      </c>
    </row>
    <row r="225" spans="1:2">
      <c r="A225" s="247" t="s">
        <v>1245</v>
      </c>
      <c r="B225" s="248" t="s">
        <v>1246</v>
      </c>
    </row>
    <row r="226" spans="1:2" ht="22.5">
      <c r="A226" s="247" t="s">
        <v>1247</v>
      </c>
      <c r="B226" s="248" t="s">
        <v>1248</v>
      </c>
    </row>
    <row r="227" spans="1:2">
      <c r="A227" s="247" t="s">
        <v>1249</v>
      </c>
      <c r="B227" s="248" t="s">
        <v>1250</v>
      </c>
    </row>
    <row r="228" spans="1:2">
      <c r="A228" s="247" t="s">
        <v>1251</v>
      </c>
      <c r="B228" s="248" t="s">
        <v>1252</v>
      </c>
    </row>
    <row r="229" spans="1:2">
      <c r="A229" s="247" t="s">
        <v>1253</v>
      </c>
      <c r="B229" s="248" t="s">
        <v>1254</v>
      </c>
    </row>
    <row r="230" spans="1:2">
      <c r="A230" s="247" t="s">
        <v>1255</v>
      </c>
      <c r="B230" s="248" t="s">
        <v>1256</v>
      </c>
    </row>
    <row r="231" spans="1:2">
      <c r="A231" s="247" t="s">
        <v>1257</v>
      </c>
      <c r="B231" s="248" t="s">
        <v>1258</v>
      </c>
    </row>
    <row r="232" spans="1:2">
      <c r="A232" s="247" t="s">
        <v>1259</v>
      </c>
      <c r="B232" s="248" t="s">
        <v>1260</v>
      </c>
    </row>
    <row r="233" spans="1:2">
      <c r="A233" s="247" t="s">
        <v>1261</v>
      </c>
      <c r="B233" s="248" t="s">
        <v>1262</v>
      </c>
    </row>
    <row r="234" spans="1:2">
      <c r="A234" s="247" t="s">
        <v>1263</v>
      </c>
      <c r="B234" s="248" t="s">
        <v>1264</v>
      </c>
    </row>
    <row r="235" spans="1:2">
      <c r="A235" s="247" t="s">
        <v>1265</v>
      </c>
      <c r="B235" s="248" t="s">
        <v>1266</v>
      </c>
    </row>
    <row r="236" spans="1:2">
      <c r="A236" s="247" t="s">
        <v>1267</v>
      </c>
      <c r="B236" s="248" t="s">
        <v>1268</v>
      </c>
    </row>
    <row r="237" spans="1:2">
      <c r="A237" s="247" t="s">
        <v>1269</v>
      </c>
      <c r="B237" s="248" t="s">
        <v>1270</v>
      </c>
    </row>
    <row r="238" spans="1:2">
      <c r="A238" s="247" t="s">
        <v>1271</v>
      </c>
      <c r="B238" s="248" t="s">
        <v>1272</v>
      </c>
    </row>
    <row r="239" spans="1:2">
      <c r="A239" s="247" t="s">
        <v>1273</v>
      </c>
      <c r="B239" s="248" t="s">
        <v>1274</v>
      </c>
    </row>
    <row r="240" spans="1:2">
      <c r="A240" s="247" t="s">
        <v>1275</v>
      </c>
      <c r="B240" s="248" t="s">
        <v>1276</v>
      </c>
    </row>
    <row r="241" spans="1:2">
      <c r="A241" s="245" t="s">
        <v>913</v>
      </c>
      <c r="B241" s="249" t="s">
        <v>896</v>
      </c>
    </row>
    <row r="242" spans="1:2">
      <c r="A242" s="247" t="s">
        <v>1277</v>
      </c>
      <c r="B242" s="248" t="s">
        <v>370</v>
      </c>
    </row>
    <row r="243" spans="1:2">
      <c r="A243" s="247" t="s">
        <v>1278</v>
      </c>
      <c r="B243" s="248" t="s">
        <v>371</v>
      </c>
    </row>
    <row r="244" spans="1:2">
      <c r="A244" s="247" t="s">
        <v>1279</v>
      </c>
      <c r="B244" s="248" t="s">
        <v>1280</v>
      </c>
    </row>
    <row r="245" spans="1:2">
      <c r="A245" s="247" t="s">
        <v>1281</v>
      </c>
      <c r="B245" s="248" t="s">
        <v>1198</v>
      </c>
    </row>
    <row r="246" spans="1:2">
      <c r="A246" s="243" t="s">
        <v>1371</v>
      </c>
      <c r="B246" s="250" t="s">
        <v>1372</v>
      </c>
    </row>
    <row r="247" spans="1:2">
      <c r="A247" s="245" t="s">
        <v>1373</v>
      </c>
      <c r="B247" s="249" t="s">
        <v>1374</v>
      </c>
    </row>
    <row r="248" spans="1:2">
      <c r="A248" s="245" t="s">
        <v>1401</v>
      </c>
      <c r="B248" s="249" t="s">
        <v>1402</v>
      </c>
    </row>
    <row r="249" spans="1:2">
      <c r="A249" s="247" t="s">
        <v>1638</v>
      </c>
      <c r="B249" s="248" t="s">
        <v>1639</v>
      </c>
    </row>
    <row r="250" spans="1:2">
      <c r="A250" s="245" t="s">
        <v>1403</v>
      </c>
      <c r="B250" s="249" t="s">
        <v>1404</v>
      </c>
    </row>
    <row r="251" spans="1:2">
      <c r="A251" s="247" t="s">
        <v>1640</v>
      </c>
      <c r="B251" s="248" t="s">
        <v>1641</v>
      </c>
    </row>
    <row r="252" spans="1:2">
      <c r="A252" s="247" t="s">
        <v>1642</v>
      </c>
      <c r="B252" s="248" t="s">
        <v>1643</v>
      </c>
    </row>
    <row r="253" spans="1:2">
      <c r="A253" s="243" t="s">
        <v>1411</v>
      </c>
      <c r="B253" s="250" t="s">
        <v>1412</v>
      </c>
    </row>
    <row r="254" spans="1:2">
      <c r="A254" s="245" t="s">
        <v>1373</v>
      </c>
      <c r="B254" s="249" t="s">
        <v>1374</v>
      </c>
    </row>
    <row r="255" spans="1:2">
      <c r="A255" s="245" t="s">
        <v>1421</v>
      </c>
      <c r="B255" s="249" t="s">
        <v>1422</v>
      </c>
    </row>
    <row r="256" spans="1:2">
      <c r="A256" s="247" t="s">
        <v>1644</v>
      </c>
      <c r="B256" s="248" t="s">
        <v>1645</v>
      </c>
    </row>
    <row r="257" spans="1:2">
      <c r="A257" s="247" t="s">
        <v>1646</v>
      </c>
      <c r="B257" s="248" t="s">
        <v>1647</v>
      </c>
    </row>
    <row r="258" spans="1:2">
      <c r="A258" s="247" t="s">
        <v>1648</v>
      </c>
      <c r="B258" s="248" t="s">
        <v>1649</v>
      </c>
    </row>
    <row r="259" spans="1:2">
      <c r="A259" s="243" t="s">
        <v>1542</v>
      </c>
      <c r="B259" s="250" t="s">
        <v>1543</v>
      </c>
    </row>
    <row r="260" spans="1:2">
      <c r="A260" s="245" t="s">
        <v>1316</v>
      </c>
      <c r="B260" s="249" t="s">
        <v>1317</v>
      </c>
    </row>
    <row r="261" spans="1:2">
      <c r="A261" s="245" t="s">
        <v>1572</v>
      </c>
      <c r="B261" s="249" t="s">
        <v>898</v>
      </c>
    </row>
    <row r="262" spans="1:2">
      <c r="A262" s="247" t="s">
        <v>1650</v>
      </c>
      <c r="B262" s="248" t="s">
        <v>1651</v>
      </c>
    </row>
    <row r="263" spans="1:2">
      <c r="A263" s="247" t="s">
        <v>1652</v>
      </c>
      <c r="B263" s="248" t="s">
        <v>1653</v>
      </c>
    </row>
    <row r="264" spans="1:2">
      <c r="A264" s="247" t="s">
        <v>1654</v>
      </c>
      <c r="B264" s="248" t="s">
        <v>1655</v>
      </c>
    </row>
    <row r="265" spans="1:2">
      <c r="A265" s="247" t="s">
        <v>1656</v>
      </c>
      <c r="B265" s="248" t="s">
        <v>1657</v>
      </c>
    </row>
    <row r="266" spans="1:2">
      <c r="A266" s="247" t="s">
        <v>1658</v>
      </c>
      <c r="B266" s="248" t="s">
        <v>1659</v>
      </c>
    </row>
    <row r="267" spans="1:2">
      <c r="A267" s="247" t="s">
        <v>1660</v>
      </c>
      <c r="B267" s="248" t="s">
        <v>1661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Željko Matas</cp:lastModifiedBy>
  <cp:lastPrinted>2019-09-30T10:04:32Z</cp:lastPrinted>
  <dcterms:created xsi:type="dcterms:W3CDTF">2018-09-10T07:36:17Z</dcterms:created>
  <dcterms:modified xsi:type="dcterms:W3CDTF">2019-12-17T07:48:01Z</dcterms:modified>
</cp:coreProperties>
</file>